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20A87E1D-C8D7-4AAD-B4C2-E0C5A4EFD566}" xr6:coauthVersionLast="47" xr6:coauthVersionMax="47" xr10:uidLastSave="{00000000-0000-0000-0000-000000000000}"/>
  <bookViews>
    <workbookView xWindow="-120" yWindow="-120" windowWidth="20730" windowHeight="11040" firstSheet="2" activeTab="2" xr2:uid="{F51F018D-54EA-4C89-B80E-F0ABA85CA494}"/>
  </bookViews>
  <sheets>
    <sheet name="Data Kelebihan Bahan Baku (2)" sheetId="2" r:id="rId1"/>
    <sheet name="Data Kelebihan Bahan Baku" sheetId="1" r:id="rId2"/>
    <sheet name="Sheet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8" i="5" l="1"/>
  <c r="F97" i="5"/>
  <c r="E97" i="5"/>
  <c r="D97" i="5"/>
  <c r="K50" i="5"/>
  <c r="K49" i="5"/>
  <c r="K48" i="5"/>
  <c r="J49" i="5"/>
  <c r="J48" i="5"/>
  <c r="B100" i="5"/>
  <c r="G85" i="5"/>
  <c r="G84" i="5"/>
  <c r="G83" i="5"/>
  <c r="G82" i="5"/>
  <c r="G81" i="5"/>
  <c r="G80" i="5"/>
  <c r="G79" i="5"/>
  <c r="G78" i="5"/>
  <c r="G67" i="5"/>
  <c r="G66" i="5"/>
  <c r="G58" i="5"/>
  <c r="G57" i="5"/>
  <c r="G56" i="5"/>
  <c r="F90" i="5"/>
  <c r="E90" i="5"/>
  <c r="F68" i="5"/>
  <c r="E68" i="5"/>
  <c r="G65" i="5"/>
  <c r="G63" i="5"/>
  <c r="G64" i="5" s="1"/>
  <c r="G61" i="5"/>
  <c r="G60" i="5"/>
  <c r="G62" i="5"/>
  <c r="G59" i="5"/>
  <c r="G86" i="5"/>
  <c r="G87" i="5" s="1"/>
  <c r="G88" i="5" s="1"/>
  <c r="G89" i="5" s="1"/>
  <c r="C120" i="5"/>
  <c r="C116" i="5"/>
  <c r="J80" i="5"/>
  <c r="D117" i="5"/>
  <c r="D116" i="5"/>
  <c r="E116" i="5"/>
  <c r="D119" i="5"/>
  <c r="D120" i="5" s="1"/>
  <c r="J117" i="5"/>
  <c r="I116" i="5"/>
  <c r="I115" i="5"/>
  <c r="H114" i="5"/>
  <c r="H103" i="5"/>
  <c r="H104" i="5"/>
  <c r="H105" i="5"/>
  <c r="H106" i="5"/>
  <c r="H107" i="5"/>
  <c r="H108" i="5"/>
  <c r="H109" i="5"/>
  <c r="H110" i="5"/>
  <c r="H111" i="5"/>
  <c r="H112" i="5"/>
  <c r="H113" i="5"/>
  <c r="H102" i="5"/>
  <c r="G103" i="5"/>
  <c r="G104" i="5"/>
  <c r="G105" i="5"/>
  <c r="G106" i="5"/>
  <c r="G107" i="5"/>
  <c r="G108" i="5"/>
  <c r="G109" i="5"/>
  <c r="G110" i="5"/>
  <c r="G111" i="5"/>
  <c r="G112" i="5"/>
  <c r="G113" i="5"/>
  <c r="G102" i="5"/>
  <c r="F103" i="5"/>
  <c r="F104" i="5"/>
  <c r="F105" i="5"/>
  <c r="F106" i="5"/>
  <c r="F107" i="5"/>
  <c r="F108" i="5"/>
  <c r="F109" i="5"/>
  <c r="F110" i="5"/>
  <c r="F111" i="5"/>
  <c r="F112" i="5"/>
  <c r="F113" i="5"/>
  <c r="F102" i="5"/>
  <c r="B90" i="5"/>
  <c r="B96" i="5"/>
  <c r="C97" i="5" s="1"/>
  <c r="F79" i="5"/>
  <c r="F80" i="5"/>
  <c r="F81" i="5"/>
  <c r="F82" i="5"/>
  <c r="F83" i="5"/>
  <c r="F84" i="5"/>
  <c r="F85" i="5"/>
  <c r="F86" i="5"/>
  <c r="F87" i="5"/>
  <c r="F88" i="5"/>
  <c r="F89" i="5"/>
  <c r="F78" i="5"/>
  <c r="D78" i="5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K63" i="5"/>
  <c r="K64" i="5" s="1"/>
  <c r="K65" i="5" s="1"/>
  <c r="K66" i="5" s="1"/>
  <c r="D56" i="5"/>
  <c r="D57" i="5" s="1"/>
  <c r="D48" i="5"/>
  <c r="C48" i="5"/>
  <c r="B48" i="5"/>
  <c r="E47" i="5"/>
  <c r="E46" i="5"/>
  <c r="E45" i="5"/>
  <c r="E44" i="5"/>
  <c r="E43" i="5"/>
  <c r="E42" i="5"/>
  <c r="E41" i="5"/>
  <c r="E40" i="5"/>
  <c r="E39" i="5"/>
  <c r="E38" i="5"/>
  <c r="E37" i="5"/>
  <c r="E36" i="5"/>
  <c r="E21" i="5"/>
  <c r="E22" i="5"/>
  <c r="E23" i="5"/>
  <c r="E24" i="5"/>
  <c r="E25" i="5"/>
  <c r="E26" i="5"/>
  <c r="E27" i="5"/>
  <c r="E28" i="5"/>
  <c r="E29" i="5"/>
  <c r="E30" i="5"/>
  <c r="E31" i="5"/>
  <c r="E20" i="5"/>
  <c r="D32" i="5"/>
  <c r="B32" i="5"/>
  <c r="D16" i="5"/>
  <c r="B16" i="5"/>
  <c r="E16" i="5"/>
  <c r="D44" i="1"/>
  <c r="D17" i="1"/>
  <c r="F17" i="1"/>
  <c r="H17" i="1"/>
  <c r="I17" i="1"/>
  <c r="D18" i="1"/>
  <c r="F18" i="1"/>
  <c r="G18" i="1"/>
  <c r="H18" i="1"/>
  <c r="I18" i="1" s="1"/>
  <c r="D19" i="1"/>
  <c r="F19" i="1"/>
  <c r="G19" i="1"/>
  <c r="I19" i="1" s="1"/>
  <c r="H19" i="1"/>
  <c r="D20" i="1"/>
  <c r="F20" i="1"/>
  <c r="I20" i="1" s="1"/>
  <c r="G20" i="1"/>
  <c r="H20" i="1"/>
  <c r="D21" i="1"/>
  <c r="F21" i="1"/>
  <c r="G21" i="1"/>
  <c r="H21" i="1"/>
  <c r="I21" i="1"/>
  <c r="D22" i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F22" i="1"/>
  <c r="G22" i="1"/>
  <c r="H22" i="1"/>
  <c r="I22" i="1" s="1"/>
  <c r="F23" i="1"/>
  <c r="G23" i="1"/>
  <c r="I23" i="1" s="1"/>
  <c r="H23" i="1"/>
  <c r="F24" i="1"/>
  <c r="I24" i="1" s="1"/>
  <c r="G24" i="1"/>
  <c r="H24" i="1"/>
  <c r="F25" i="1"/>
  <c r="G25" i="1"/>
  <c r="H25" i="1"/>
  <c r="I25" i="1"/>
  <c r="F26" i="1"/>
  <c r="G26" i="1"/>
  <c r="H26" i="1"/>
  <c r="I26" i="1" s="1"/>
  <c r="F27" i="1"/>
  <c r="G27" i="1"/>
  <c r="I27" i="1" s="1"/>
  <c r="H27" i="1"/>
  <c r="F28" i="1"/>
  <c r="I28" i="1" s="1"/>
  <c r="G28" i="1"/>
  <c r="H28" i="1"/>
  <c r="H38" i="1"/>
  <c r="F51" i="1"/>
  <c r="F49" i="1"/>
  <c r="G103" i="1"/>
  <c r="F102" i="1"/>
  <c r="B86" i="1"/>
  <c r="F88" i="1"/>
  <c r="G100" i="1"/>
  <c r="F99" i="1"/>
  <c r="E98" i="1"/>
  <c r="A81" i="1"/>
  <c r="H46" i="1"/>
  <c r="J46" i="1" s="1"/>
  <c r="F79" i="2"/>
  <c r="F75" i="2"/>
  <c r="F76" i="2" s="1"/>
  <c r="F77" i="2" s="1"/>
  <c r="F78" i="2" s="1"/>
  <c r="F74" i="2"/>
  <c r="F59" i="2"/>
  <c r="E58" i="2"/>
  <c r="A44" i="2"/>
  <c r="E41" i="2"/>
  <c r="C41" i="2"/>
  <c r="E53" i="2" s="1"/>
  <c r="B41" i="2"/>
  <c r="H40" i="2"/>
  <c r="G40" i="2"/>
  <c r="F40" i="2"/>
  <c r="I40" i="2" s="1"/>
  <c r="H39" i="2"/>
  <c r="G39" i="2"/>
  <c r="I39" i="2" s="1"/>
  <c r="F39" i="2"/>
  <c r="H38" i="2"/>
  <c r="I38" i="2" s="1"/>
  <c r="G38" i="2"/>
  <c r="F38" i="2"/>
  <c r="I37" i="2"/>
  <c r="H37" i="2"/>
  <c r="G37" i="2"/>
  <c r="F37" i="2"/>
  <c r="H36" i="2"/>
  <c r="G36" i="2"/>
  <c r="F36" i="2"/>
  <c r="I36" i="2" s="1"/>
  <c r="H35" i="2"/>
  <c r="G35" i="2"/>
  <c r="I35" i="2" s="1"/>
  <c r="F35" i="2"/>
  <c r="H34" i="2"/>
  <c r="I34" i="2" s="1"/>
  <c r="G34" i="2"/>
  <c r="F34" i="2"/>
  <c r="I33" i="2"/>
  <c r="H33" i="2"/>
  <c r="G33" i="2"/>
  <c r="F33" i="2"/>
  <c r="H32" i="2"/>
  <c r="G32" i="2"/>
  <c r="F32" i="2"/>
  <c r="I32" i="2" s="1"/>
  <c r="H31" i="2"/>
  <c r="G31" i="2"/>
  <c r="I31" i="2" s="1"/>
  <c r="F31" i="2"/>
  <c r="H30" i="2"/>
  <c r="I30" i="2" s="1"/>
  <c r="G30" i="2"/>
  <c r="F30" i="2"/>
  <c r="I29" i="2"/>
  <c r="H29" i="2"/>
  <c r="G29" i="2"/>
  <c r="F29" i="2"/>
  <c r="H28" i="2"/>
  <c r="G28" i="2"/>
  <c r="F28" i="2"/>
  <c r="I28" i="2" s="1"/>
  <c r="H27" i="2"/>
  <c r="G27" i="2"/>
  <c r="I27" i="2" s="1"/>
  <c r="F27" i="2"/>
  <c r="H26" i="2"/>
  <c r="I26" i="2" s="1"/>
  <c r="G26" i="2"/>
  <c r="F26" i="2"/>
  <c r="I25" i="2"/>
  <c r="H25" i="2"/>
  <c r="G25" i="2"/>
  <c r="F25" i="2"/>
  <c r="H24" i="2"/>
  <c r="G24" i="2"/>
  <c r="F24" i="2"/>
  <c r="I24" i="2" s="1"/>
  <c r="H23" i="2"/>
  <c r="G23" i="2"/>
  <c r="I23" i="2" s="1"/>
  <c r="F23" i="2"/>
  <c r="H22" i="2"/>
  <c r="I22" i="2" s="1"/>
  <c r="G22" i="2"/>
  <c r="F22" i="2"/>
  <c r="I21" i="2"/>
  <c r="H21" i="2"/>
  <c r="G21" i="2"/>
  <c r="F21" i="2"/>
  <c r="H20" i="2"/>
  <c r="G20" i="2"/>
  <c r="F20" i="2"/>
  <c r="I20" i="2" s="1"/>
  <c r="H19" i="2"/>
  <c r="G19" i="2"/>
  <c r="I19" i="2" s="1"/>
  <c r="F19" i="2"/>
  <c r="H18" i="2"/>
  <c r="H41" i="2" s="1"/>
  <c r="A46" i="2" s="1"/>
  <c r="G18" i="2"/>
  <c r="F18" i="2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I17" i="2"/>
  <c r="H17" i="2"/>
  <c r="G17" i="2"/>
  <c r="F17" i="2"/>
  <c r="D17" i="2"/>
  <c r="A44" i="1"/>
  <c r="E41" i="1"/>
  <c r="C41" i="1"/>
  <c r="E54" i="1" s="1"/>
  <c r="B41" i="1"/>
  <c r="H29" i="1"/>
  <c r="H30" i="1"/>
  <c r="H31" i="1"/>
  <c r="H32" i="1"/>
  <c r="H33" i="1"/>
  <c r="H34" i="1"/>
  <c r="H35" i="1"/>
  <c r="H36" i="1"/>
  <c r="H37" i="1"/>
  <c r="H39" i="1"/>
  <c r="H40" i="1"/>
  <c r="G29" i="1"/>
  <c r="G30" i="1"/>
  <c r="G31" i="1"/>
  <c r="G32" i="1"/>
  <c r="G33" i="1"/>
  <c r="G34" i="1"/>
  <c r="G35" i="1"/>
  <c r="G36" i="1"/>
  <c r="G37" i="1"/>
  <c r="G38" i="1"/>
  <c r="G39" i="1"/>
  <c r="G40" i="1"/>
  <c r="F29" i="1"/>
  <c r="F30" i="1"/>
  <c r="I30" i="1" s="1"/>
  <c r="F31" i="1"/>
  <c r="I31" i="1" s="1"/>
  <c r="F32" i="1"/>
  <c r="I32" i="1" s="1"/>
  <c r="F33" i="1"/>
  <c r="F34" i="1"/>
  <c r="I34" i="1" s="1"/>
  <c r="F35" i="1"/>
  <c r="I35" i="1" s="1"/>
  <c r="F36" i="1"/>
  <c r="I36" i="1" s="1"/>
  <c r="F37" i="1"/>
  <c r="F38" i="1"/>
  <c r="I38" i="1" s="1"/>
  <c r="F39" i="1"/>
  <c r="I39" i="1" s="1"/>
  <c r="F40" i="1"/>
  <c r="I40" i="1" s="1"/>
  <c r="C16" i="5" l="1"/>
  <c r="D58" i="5"/>
  <c r="E48" i="5"/>
  <c r="B52" i="5" s="1"/>
  <c r="D52" i="5" s="1"/>
  <c r="E52" i="5" s="1"/>
  <c r="F52" i="5" s="1"/>
  <c r="E32" i="5"/>
  <c r="C32" i="5"/>
  <c r="G41" i="1"/>
  <c r="H41" i="1"/>
  <c r="A46" i="1" s="1"/>
  <c r="F52" i="1" s="1"/>
  <c r="F53" i="1" s="1"/>
  <c r="F54" i="1" s="1"/>
  <c r="H64" i="1"/>
  <c r="J64" i="1" s="1"/>
  <c r="H67" i="1"/>
  <c r="J67" i="1" s="1"/>
  <c r="H63" i="1"/>
  <c r="J63" i="1" s="1"/>
  <c r="H66" i="1"/>
  <c r="J66" i="1" s="1"/>
  <c r="H65" i="1"/>
  <c r="J65" i="1" s="1"/>
  <c r="I37" i="1"/>
  <c r="I29" i="1"/>
  <c r="H61" i="1"/>
  <c r="J61" i="1" s="1"/>
  <c r="H57" i="1"/>
  <c r="J57" i="1" s="1"/>
  <c r="H53" i="1"/>
  <c r="J53" i="1" s="1"/>
  <c r="H49" i="1"/>
  <c r="J49" i="1" s="1"/>
  <c r="H44" i="1"/>
  <c r="J44" i="1" s="1"/>
  <c r="H60" i="1"/>
  <c r="J60" i="1" s="1"/>
  <c r="H56" i="1"/>
  <c r="J56" i="1" s="1"/>
  <c r="H52" i="1"/>
  <c r="J52" i="1" s="1"/>
  <c r="H48" i="1"/>
  <c r="J48" i="1" s="1"/>
  <c r="H45" i="1"/>
  <c r="J45" i="1" s="1"/>
  <c r="H59" i="1"/>
  <c r="J59" i="1" s="1"/>
  <c r="H55" i="1"/>
  <c r="J55" i="1" s="1"/>
  <c r="H51" i="1"/>
  <c r="J51" i="1" s="1"/>
  <c r="H47" i="1"/>
  <c r="J47" i="1" s="1"/>
  <c r="I33" i="1"/>
  <c r="I41" i="1" s="1"/>
  <c r="J41" i="1" s="1"/>
  <c r="H62" i="1"/>
  <c r="J62" i="1" s="1"/>
  <c r="H58" i="1"/>
  <c r="J58" i="1" s="1"/>
  <c r="H54" i="1"/>
  <c r="J54" i="1" s="1"/>
  <c r="H50" i="1"/>
  <c r="J50" i="1" s="1"/>
  <c r="D41" i="1"/>
  <c r="F41" i="1"/>
  <c r="E54" i="2"/>
  <c r="E55" i="2" s="1"/>
  <c r="D41" i="2"/>
  <c r="F41" i="2"/>
  <c r="I18" i="2"/>
  <c r="I41" i="2" s="1"/>
  <c r="G41" i="2"/>
  <c r="F58" i="5" l="1"/>
  <c r="F56" i="5"/>
  <c r="F57" i="5"/>
  <c r="D59" i="5"/>
  <c r="F59" i="5" s="1"/>
  <c r="L53" i="1"/>
  <c r="L54" i="1" s="1"/>
  <c r="L55" i="1" s="1"/>
  <c r="E55" i="1"/>
  <c r="E56" i="1" s="1"/>
  <c r="D60" i="5" l="1"/>
  <c r="D61" i="5" l="1"/>
  <c r="F61" i="5" s="1"/>
  <c r="F60" i="5"/>
  <c r="D62" i="5" l="1"/>
  <c r="F62" i="5" s="1"/>
  <c r="D63" i="5" l="1"/>
  <c r="F63" i="5" s="1"/>
  <c r="D64" i="5" l="1"/>
  <c r="F64" i="5" s="1"/>
  <c r="D65" i="5" l="1"/>
  <c r="F65" i="5" s="1"/>
  <c r="D66" i="5" l="1"/>
  <c r="F66" i="5" s="1"/>
  <c r="D67" i="5" l="1"/>
  <c r="F67" i="5" l="1"/>
</calcChain>
</file>

<file path=xl/sharedStrings.xml><?xml version="1.0" encoding="utf-8"?>
<sst xmlns="http://schemas.openxmlformats.org/spreadsheetml/2006/main" count="278" uniqueCount="148">
  <si>
    <t>Periode / Bulan</t>
  </si>
  <si>
    <t>Frekuensi</t>
  </si>
  <si>
    <t>Biaya Penyimpanan</t>
  </si>
  <si>
    <t>Total Biaya</t>
  </si>
  <si>
    <t>Data selama 2 Tahun atau 24 Bulan</t>
  </si>
  <si>
    <t xml:space="preserve">Biaya Pemesanan </t>
  </si>
  <si>
    <t>Biaya Komunikasi</t>
  </si>
  <si>
    <t>Biaya Transportasi</t>
  </si>
  <si>
    <t>Note</t>
  </si>
  <si>
    <t>Biaya transportasi sekali pemesanan</t>
  </si>
  <si>
    <t>Rp3000.000 x 2</t>
  </si>
  <si>
    <t>Listrik</t>
  </si>
  <si>
    <t>Maintenance</t>
  </si>
  <si>
    <t>Pajak</t>
  </si>
  <si>
    <t>Total</t>
  </si>
  <si>
    <t>Biaya Pembelian</t>
  </si>
  <si>
    <t xml:space="preserve">1 zak </t>
  </si>
  <si>
    <t>Biaya pembelian 1 zak = 50 kg</t>
  </si>
  <si>
    <t>Penerimaan</t>
  </si>
  <si>
    <t>Penggunaan</t>
  </si>
  <si>
    <t>Kelebihan</t>
  </si>
  <si>
    <t>Frekuensi pembelian bahan baku antara 3-4 hari tergantung permintaan</t>
  </si>
  <si>
    <t>Biaya Pemesanan</t>
  </si>
  <si>
    <t>Biaya Pemesanan sekali pesan</t>
  </si>
  <si>
    <t>Biaya Penyimpanan per zak</t>
  </si>
  <si>
    <t>Langkah berikutnya : Perhitungan EOQ untuk pemesanan yang optimal</t>
  </si>
  <si>
    <t xml:space="preserve">Frekuensi pembelian bahan baku yang tepat </t>
  </si>
  <si>
    <t xml:space="preserve">F = </t>
  </si>
  <si>
    <t xml:space="preserve">F= </t>
  </si>
  <si>
    <t>F = 1,89 / 2 kali pemesanan</t>
  </si>
  <si>
    <t>Q* =</t>
  </si>
  <si>
    <t xml:space="preserve">Q* = </t>
  </si>
  <si>
    <t>D = Penggunaan = 1544</t>
  </si>
  <si>
    <t>S = Biaya Pemesanan sekali pesan = 6015000</t>
  </si>
  <si>
    <t>H = Biaya penyimpanan per zak = 27979</t>
  </si>
  <si>
    <t>Q* = 814,7 zak atau 815 zak</t>
  </si>
  <si>
    <t>Mencari standard deviasi menggunakan distribusi normal</t>
  </si>
  <si>
    <t xml:space="preserve">SD = </t>
  </si>
  <si>
    <t>1 Kg</t>
  </si>
  <si>
    <t>Biaya Penyimpanan per kg</t>
  </si>
  <si>
    <t>H = Biaya penyimpanan per kg = 556</t>
  </si>
  <si>
    <t>Rata-rata penggunaan</t>
  </si>
  <si>
    <t>TOTAL</t>
  </si>
  <si>
    <t>n</t>
  </si>
  <si>
    <t>standar deviasi</t>
  </si>
  <si>
    <t>692,8 atau 693</t>
  </si>
  <si>
    <t>SD = 692,8 atau 693</t>
  </si>
  <si>
    <t>SS = Z x SD</t>
  </si>
  <si>
    <t>SS = 1,65 x 693</t>
  </si>
  <si>
    <t xml:space="preserve"> Z</t>
  </si>
  <si>
    <t>SD</t>
  </si>
  <si>
    <t>jadi safety stock nya adalah 1143 kg</t>
  </si>
  <si>
    <t>Data selama 2 Tahun atau 24 Bulan (2021-2022)</t>
  </si>
  <si>
    <t>MENGHITUNG ROP</t>
  </si>
  <si>
    <t>kg</t>
  </si>
  <si>
    <t>Menghitung total biaya persediaan</t>
  </si>
  <si>
    <t>TIC =</t>
  </si>
  <si>
    <t xml:space="preserve">TIC = </t>
  </si>
  <si>
    <t>TIC = 22.796.865</t>
  </si>
  <si>
    <t>sekali pesan</t>
  </si>
  <si>
    <t>lead time</t>
  </si>
  <si>
    <t xml:space="preserve">ROP= </t>
  </si>
  <si>
    <t>penggunaan</t>
  </si>
  <si>
    <t>karena 24 bulan</t>
  </si>
  <si>
    <t>ROP = (penggunaan per hari x Lead time) + SS</t>
  </si>
  <si>
    <t xml:space="preserve">penggunaan per hari </t>
  </si>
  <si>
    <t xml:space="preserve">Jadi ROP atau pemesanan kembali pada saat </t>
  </si>
  <si>
    <t>persediaan bahan baku sebesar 1.670 kg</t>
  </si>
  <si>
    <t>D = Penggunaan =</t>
  </si>
  <si>
    <t>Q* = 28993 kg</t>
  </si>
  <si>
    <t>F = 1,34 / 1 kali pemesanan</t>
  </si>
  <si>
    <t xml:space="preserve">EOQ = </t>
  </si>
  <si>
    <t>EOQ =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</si>
  <si>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</si>
  <si>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</si>
  <si>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</si>
  <si>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</si>
  <si>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</si>
  <si>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</si>
  <si>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</si>
  <si>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</si>
  <si>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</si>
  <si>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</si>
  <si>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</si>
  <si>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</si>
  <si>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</si>
  <si>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Jumlah</t>
  </si>
  <si>
    <t>Biaya Perawatan</t>
  </si>
  <si>
    <t>Biaya Listrik dan Air</t>
  </si>
  <si>
    <t>Biaya Pajak</t>
  </si>
  <si>
    <t>Biaya Simpan per tahun</t>
  </si>
  <si>
    <t>Total Biaya Persediaan</t>
  </si>
  <si>
    <t>Gula Rafinasi</t>
  </si>
  <si>
    <t>D</t>
  </si>
  <si>
    <t>H</t>
  </si>
  <si>
    <t xml:space="preserve">T = </t>
  </si>
  <si>
    <t>Tabel 1. Pemakaian dan Pembelian Gula Rafinasi Tahun 2022</t>
  </si>
  <si>
    <t>Pembelian</t>
  </si>
  <si>
    <t>zak</t>
  </si>
  <si>
    <t>1 zak = 50 kg</t>
  </si>
  <si>
    <t>Pemakaian</t>
  </si>
  <si>
    <t>Jumlah pemakaian bahan baku sebesar 36.407 kg.</t>
  </si>
  <si>
    <t>dengan total 728 zak selama satu tahun.</t>
  </si>
  <si>
    <t>dengan pembelian bahan baku sebesar 36.497 kg</t>
  </si>
  <si>
    <t>dengan total 730 zak selama satu tahun.</t>
  </si>
  <si>
    <t>Tabel 2. Biaya Pemesanan Gula Rafinasi Tahun 2022</t>
  </si>
  <si>
    <t>Biaya Bongkar Muat</t>
  </si>
  <si>
    <t>Total biaya pemesanan gula rafinasi sebesar Rp 79.080.000</t>
  </si>
  <si>
    <t>Tabel 3. Biaya Penyimpanan Gula Rafinasi Tahun 2022</t>
  </si>
  <si>
    <t xml:space="preserve">Biaya Penyimpanan Gula Rafinasi Tahun 2022 </t>
  </si>
  <si>
    <t xml:space="preserve">Tabel 4. Biaya Penyimpanan per unit </t>
  </si>
  <si>
    <t>yaitu sebesar Rp 25.200.000</t>
  </si>
  <si>
    <t>Bahan Baku</t>
  </si>
  <si>
    <t>Total Biaya Penyimpanan</t>
  </si>
  <si>
    <t>Persentase Penyimpanan</t>
  </si>
  <si>
    <t>Biaya Simpan Bahan Baku</t>
  </si>
  <si>
    <t>Biaya Simpan per bulan</t>
  </si>
  <si>
    <t>Tabel 5. Perhitungan total biaya persediaan gula rafinasi dengan kebijakan perusahaan</t>
  </si>
  <si>
    <t>Total biaya persediaan gula rafinasi perusahaan sebesar</t>
  </si>
  <si>
    <t>Rp. 79.214.400</t>
  </si>
  <si>
    <t>S</t>
  </si>
  <si>
    <t>436,9 atau 437 zak pesanan selama satu tahun</t>
  </si>
  <si>
    <t>F =</t>
  </si>
  <si>
    <t>F = 1,67 atau 2 kali pemesanan selama satu tahun</t>
  </si>
  <si>
    <t>Frekuensi pemesanan selama setahun</t>
  </si>
  <si>
    <t>Masa waktu pemesanan selama satu tahun</t>
  </si>
  <si>
    <t>T = 182,5 dibulatkan menjadi 183 hari</t>
  </si>
  <si>
    <t>EOQ</t>
  </si>
  <si>
    <t>Kebutuhan (zak)</t>
  </si>
  <si>
    <t>Simpan (zak)</t>
  </si>
  <si>
    <t>Pembelian (zak)</t>
  </si>
  <si>
    <t>Tabel 6</t>
  </si>
  <si>
    <t>Tabel 7</t>
  </si>
  <si>
    <t>Kebijakan perusahaan</t>
  </si>
  <si>
    <t>Metode Economic Order Quantity (EOQ)</t>
  </si>
  <si>
    <t>Terdapat selisih yaitu Rp 53.724.200 atau sekitar 68%</t>
  </si>
  <si>
    <t>Menghitung standar deviasi untuk safety stock</t>
  </si>
  <si>
    <t>SD =</t>
  </si>
  <si>
    <t>SD = 11,14</t>
  </si>
  <si>
    <t>Safety stock</t>
  </si>
  <si>
    <t>SS = 1,65 x 11,14</t>
  </si>
  <si>
    <t>SS = 18,4 atau dibulatkan menjadi 18 zak</t>
  </si>
  <si>
    <t>Reorder Point</t>
  </si>
  <si>
    <t>ROP = ( d x L) + ss</t>
  </si>
  <si>
    <t>ROP = 10 + 18</t>
  </si>
  <si>
    <t>ROP = 30 zak</t>
  </si>
  <si>
    <t>ROP = (3 x 4) + 18</t>
  </si>
  <si>
    <t>Biaya Komunikasi &amp; materai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</si>
</sst>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p&quot;* #,##0.00_-;\-&quot;Rp&quot;* #,##0.00_-;_-&quot;Rp&quot;* &quot;-&quot;??_-;_-@_-"/>
    <numFmt numFmtId="164" formatCode="&quot;Rp&quot;#,##0"/>
    <numFmt numFmtId="165" formatCode="&quot;Rp&quot;#,##0.00"/>
    <numFmt numFmtId="167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0" borderId="0" xfId="0" applyNumberFormat="1"/>
    <xf numFmtId="164" fontId="0" fillId="2" borderId="1" xfId="0" applyNumberFormat="1" applyFill="1" applyBorder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2" fillId="0" borderId="0" xfId="0" applyNumberFormat="1" applyFont="1"/>
    <xf numFmtId="0" fontId="2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/>
    <xf numFmtId="1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9" fontId="2" fillId="0" borderId="1" xfId="0" applyNumberFormat="1" applyFont="1" applyBorder="1"/>
    <xf numFmtId="2" fontId="2" fillId="0" borderId="0" xfId="0" applyNumberFormat="1" applyFont="1"/>
    <xf numFmtId="167" fontId="2" fillId="0" borderId="0" xfId="0" applyNumberFormat="1" applyFont="1"/>
    <xf numFmtId="9" fontId="2" fillId="0" borderId="0" xfId="2" applyFont="1"/>
    <xf numFmtId="4" fontId="2" fillId="0" borderId="0" xfId="0" applyNumberFormat="1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165" fontId="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9" fontId="2" fillId="0" borderId="0" xfId="0" applyNumberFormat="1" applyFont="1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61</xdr:row>
      <xdr:rowOff>33337</xdr:rowOff>
    </xdr:from>
    <xdr:ext cx="133626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3721E-33FC-4515-B862-734D952EB3A8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3721E-33FC-4515-B862-734D952EB3A8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381000</xdr:colOff>
      <xdr:row>63</xdr:row>
      <xdr:rowOff>33337</xdr:rowOff>
    </xdr:from>
    <xdr:ext cx="344261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447F6B0-2E96-4108-A809-3C6FFC5378E2}"/>
                </a:ext>
              </a:extLst>
            </xdr:cNvPr>
            <xdr:cNvSpPr txBox="1"/>
          </xdr:nvSpPr>
          <xdr:spPr>
            <a:xfrm>
              <a:off x="381000" y="12034837"/>
              <a:ext cx="344261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1544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815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447F6B0-2E96-4108-A809-3C6FFC5378E2}"/>
                </a:ext>
              </a:extLst>
            </xdr:cNvPr>
            <xdr:cNvSpPr txBox="1"/>
          </xdr:nvSpPr>
          <xdr:spPr>
            <a:xfrm>
              <a:off x="381000" y="12034837"/>
              <a:ext cx="344261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1544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815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319087</xdr:colOff>
      <xdr:row>48</xdr:row>
      <xdr:rowOff>47625</xdr:rowOff>
    </xdr:from>
    <xdr:ext cx="501869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7DDAD4E-A3B3-4B56-B4C3-EF0E0BA4F77C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7DDAD4E-A3B3-4B56-B4C3-EF0E0BA4F77C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2.𝐷.𝑆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51</xdr:row>
      <xdr:rowOff>28575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6EC936A-DC5C-457B-9D0E-2E73DD0D26CC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2. 1544. 6015000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27979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6EC936A-DC5C-457B-9D0E-2E73DD0D26CC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2. 1544. 6015000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27979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54</xdr:row>
      <xdr:rowOff>19050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9CA47C3-5739-4951-AA46-1298E595C94C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18574320000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27979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9CA47C3-5739-4951-AA46-1298E595C94C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18574320000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27979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57</xdr:row>
      <xdr:rowOff>9526</xdr:rowOff>
    </xdr:from>
    <xdr:ext cx="1833563" cy="342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2CDD306-3DBC-4A04-8D4B-DDA1FE0BA3DB}"/>
                </a:ext>
              </a:extLst>
            </xdr:cNvPr>
            <xdr:cNvSpPr txBox="1"/>
          </xdr:nvSpPr>
          <xdr:spPr>
            <a:xfrm>
              <a:off x="0" y="10868026"/>
              <a:ext cx="1833563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663859,9556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2CDD306-3DBC-4A04-8D4B-DDA1FE0BA3DB}"/>
                </a:ext>
              </a:extLst>
            </xdr:cNvPr>
            <xdr:cNvSpPr txBox="1"/>
          </xdr:nvSpPr>
          <xdr:spPr>
            <a:xfrm>
              <a:off x="0" y="10868026"/>
              <a:ext cx="1833563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663859,9556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395287</xdr:colOff>
      <xdr:row>67</xdr:row>
      <xdr:rowOff>33337</xdr:rowOff>
    </xdr:from>
    <xdr:ext cx="71378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95C588B3-842C-4AB9-AEC9-D479B1976E28}"/>
                </a:ext>
              </a:extLst>
            </xdr:cNvPr>
            <xdr:cNvSpPr txBox="1"/>
          </xdr:nvSpPr>
          <xdr:spPr>
            <a:xfrm>
              <a:off x="395287" y="1279683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(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bar>
                                  <m:barPr>
                                    <m:pos m:val="top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bar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𝑋</m:t>
                                    </m:r>
                                  </m:e>
                                </m:ba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95C588B3-842C-4AB9-AEC9-D479B1976E28}"/>
                </a:ext>
              </a:extLst>
            </xdr:cNvPr>
            <xdr:cNvSpPr txBox="1"/>
          </xdr:nvSpPr>
          <xdr:spPr>
            <a:xfrm>
              <a:off x="395287" y="1279683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√((∑▒〖</a:t>
              </a:r>
              <a:r>
                <a:rPr lang="en-US" sz="1100" b="0" i="0">
                  <a:latin typeface="Cambria Math" panose="02040503050406030204" pitchFamily="18" charset="0"/>
                </a:rPr>
                <a:t>(𝑋−¯𝑋)</a:t>
              </a:r>
              <a:r>
                <a:rPr lang="en-ID" sz="1100" b="0" i="0">
                  <a:latin typeface="Cambria Math" panose="02040503050406030204" pitchFamily="18" charset="0"/>
                </a:rPr>
                <a:t>〗)/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376237</xdr:colOff>
      <xdr:row>70</xdr:row>
      <xdr:rowOff>90487</xdr:rowOff>
    </xdr:from>
    <xdr:ext cx="71378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57971D2-8D71-4E8D-8211-3B3C34E564B7}"/>
                </a:ext>
              </a:extLst>
            </xdr:cNvPr>
            <xdr:cNvSpPr txBox="1"/>
          </xdr:nvSpPr>
          <xdr:spPr>
            <a:xfrm>
              <a:off x="376237" y="1342548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(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bar>
                                  <m:barPr>
                                    <m:pos m:val="top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bar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𝑋</m:t>
                                    </m:r>
                                  </m:e>
                                </m:ba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57971D2-8D71-4E8D-8211-3B3C34E564B7}"/>
                </a:ext>
              </a:extLst>
            </xdr:cNvPr>
            <xdr:cNvSpPr txBox="1"/>
          </xdr:nvSpPr>
          <xdr:spPr>
            <a:xfrm>
              <a:off x="376237" y="1342548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√((∑▒〖</a:t>
              </a:r>
              <a:r>
                <a:rPr lang="en-US" sz="1100" b="0" i="0">
                  <a:latin typeface="Cambria Math" panose="02040503050406030204" pitchFamily="18" charset="0"/>
                </a:rPr>
                <a:t>(𝑋−¯𝑋)</a:t>
              </a:r>
              <a:r>
                <a:rPr lang="en-ID" sz="1100" b="0" i="0">
                  <a:latin typeface="Cambria Math" panose="02040503050406030204" pitchFamily="18" charset="0"/>
                </a:rPr>
                <a:t>〗)/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61</xdr:row>
      <xdr:rowOff>33337</xdr:rowOff>
    </xdr:from>
    <xdr:ext cx="133626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29E78683-BD76-4A67-824C-7BCE856F4C8C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29E78683-BD76-4A67-824C-7BCE856F4C8C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381000</xdr:colOff>
      <xdr:row>63</xdr:row>
      <xdr:rowOff>33337</xdr:rowOff>
    </xdr:from>
    <xdr:ext cx="422360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0F8F132-F770-414C-99CC-D572B6487049}"/>
                </a:ext>
              </a:extLst>
            </xdr:cNvPr>
            <xdr:cNvSpPr txBox="1"/>
          </xdr:nvSpPr>
          <xdr:spPr>
            <a:xfrm>
              <a:off x="381000" y="12034837"/>
              <a:ext cx="422360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38849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28993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0F8F132-F770-414C-99CC-D572B6487049}"/>
                </a:ext>
              </a:extLst>
            </xdr:cNvPr>
            <xdr:cNvSpPr txBox="1"/>
          </xdr:nvSpPr>
          <xdr:spPr>
            <a:xfrm>
              <a:off x="381000" y="12034837"/>
              <a:ext cx="422360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38849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28993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319087</xdr:colOff>
      <xdr:row>48</xdr:row>
      <xdr:rowOff>47625</xdr:rowOff>
    </xdr:from>
    <xdr:ext cx="501869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AB79C7F6-F372-410E-B0E8-C0674ABAFCE3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AB79C7F6-F372-410E-B0E8-C0674ABAFCE3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2.𝐷.𝑆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51</xdr:row>
      <xdr:rowOff>28575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7DE7E859-4BD7-48B8-A2DB-BD87D0EAE4BA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2. 38849. 6015000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556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7DE7E859-4BD7-48B8-A2DB-BD87D0EAE4BA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2. 38849. 6015000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556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54</xdr:row>
      <xdr:rowOff>19050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1A284248-3465-4B94-B886-08FBA04A29C2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467353470000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556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1A284248-3465-4B94-B886-08FBA04A29C2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467353470000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556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395287</xdr:colOff>
      <xdr:row>67</xdr:row>
      <xdr:rowOff>33337</xdr:rowOff>
    </xdr:from>
    <xdr:ext cx="77918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818C9EFF-D0AB-4C0D-9CEB-53C045EEA24C}"/>
                </a:ext>
              </a:extLst>
            </xdr:cNvPr>
            <xdr:cNvSpPr txBox="1"/>
          </xdr:nvSpPr>
          <xdr:spPr>
            <a:xfrm>
              <a:off x="395287" y="12796837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(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𝑋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bar>
                                      <m:barPr>
                                        <m:pos m:val="top"/>
                                        <m:ctrlP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bar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𝑋</m:t>
                                        </m:r>
                                      </m:e>
                                    </m:ba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818C9EFF-D0AB-4C0D-9CEB-53C045EEA24C}"/>
                </a:ext>
              </a:extLst>
            </xdr:cNvPr>
            <xdr:cNvSpPr txBox="1"/>
          </xdr:nvSpPr>
          <xdr:spPr>
            <a:xfrm>
              <a:off x="395287" y="12796837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(𝑋−¯𝑋)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latin typeface="Cambria Math" panose="02040503050406030204" pitchFamily="18" charset="0"/>
                </a:rPr>
                <a:t>2 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309562</xdr:colOff>
      <xdr:row>70</xdr:row>
      <xdr:rowOff>61912</xdr:rowOff>
    </xdr:from>
    <xdr:ext cx="76450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C9D6DA6-69CF-41AD-962A-B5D982E05041}"/>
                </a:ext>
              </a:extLst>
            </xdr:cNvPr>
            <xdr:cNvSpPr txBox="1"/>
          </xdr:nvSpPr>
          <xdr:spPr>
            <a:xfrm>
              <a:off x="309562" y="13396912"/>
              <a:ext cx="76450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11520050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24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C9D6DA6-69CF-41AD-962A-B5D982E05041}"/>
                </a:ext>
              </a:extLst>
            </xdr:cNvPr>
            <xdr:cNvSpPr txBox="1"/>
          </xdr:nvSpPr>
          <xdr:spPr>
            <a:xfrm>
              <a:off x="309562" y="13396912"/>
              <a:ext cx="76450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11520050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24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280987</xdr:colOff>
      <xdr:row>73</xdr:row>
      <xdr:rowOff>128587</xdr:rowOff>
    </xdr:from>
    <xdr:ext cx="593111" cy="1957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169F0E6-AF0D-46F9-9F87-674EADC13CFB}"/>
                </a:ext>
              </a:extLst>
            </xdr:cNvPr>
            <xdr:cNvSpPr txBox="1"/>
          </xdr:nvSpPr>
          <xdr:spPr>
            <a:xfrm>
              <a:off x="280987" y="14035087"/>
              <a:ext cx="593111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480002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169F0E6-AF0D-46F9-9F87-674EADC13CFB}"/>
                </a:ext>
              </a:extLst>
            </xdr:cNvPr>
            <xdr:cNvSpPr txBox="1"/>
          </xdr:nvSpPr>
          <xdr:spPr>
            <a:xfrm>
              <a:off x="280987" y="14035087"/>
              <a:ext cx="593111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480002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471487</xdr:colOff>
      <xdr:row>92</xdr:row>
      <xdr:rowOff>42862</xdr:rowOff>
    </xdr:from>
    <xdr:ext cx="1363707" cy="376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8D6F797-2227-4E4C-831C-61F3B9E5DF67}"/>
                </a:ext>
              </a:extLst>
            </xdr:cNvPr>
            <xdr:cNvSpPr txBox="1"/>
          </xdr:nvSpPr>
          <xdr:spPr>
            <a:xfrm>
              <a:off x="471487" y="17568862"/>
              <a:ext cx="1363707" cy="376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𝑄</m:t>
                                </m:r>
                              </m:e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∗</m:t>
                                </m:r>
                              </m:sup>
                            </m:sSup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𝑄</m:t>
                                </m:r>
                              </m:e>
                              <m:sup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</m:sup>
                            </m:sSup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8D6F797-2227-4E4C-831C-61F3B9E5DF67}"/>
                </a:ext>
              </a:extLst>
            </xdr:cNvPr>
            <xdr:cNvSpPr txBox="1"/>
          </xdr:nvSpPr>
          <xdr:spPr>
            <a:xfrm>
              <a:off x="471487" y="17568862"/>
              <a:ext cx="1363707" cy="376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[𝐷/𝑄^∗   𝑥 𝑆 ]+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𝑄^∗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𝑥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]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357187</xdr:colOff>
      <xdr:row>94</xdr:row>
      <xdr:rowOff>157162</xdr:rowOff>
    </xdr:from>
    <xdr:ext cx="2398926" cy="3225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69FF372F-04D9-4DCB-9AA0-16B32C19D69E}"/>
                </a:ext>
              </a:extLst>
            </xdr:cNvPr>
            <xdr:cNvSpPr txBox="1"/>
          </xdr:nvSpPr>
          <xdr:spPr>
            <a:xfrm>
              <a:off x="357187" y="18064162"/>
              <a:ext cx="2398926" cy="322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77698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41002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6015000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41002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556 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69FF372F-04D9-4DCB-9AA0-16B32C19D69E}"/>
                </a:ext>
              </a:extLst>
            </xdr:cNvPr>
            <xdr:cNvSpPr txBox="1"/>
          </xdr:nvSpPr>
          <xdr:spPr>
            <a:xfrm>
              <a:off x="357187" y="18064162"/>
              <a:ext cx="2398926" cy="322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[77698/41002  𝑥 6015000]+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41002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𝑥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556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]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328612</xdr:colOff>
      <xdr:row>97</xdr:row>
      <xdr:rowOff>147637</xdr:rowOff>
    </xdr:from>
    <xdr:ext cx="2367186" cy="3225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504658BA-5B97-4BE8-9297-31F9CD6415AD}"/>
                </a:ext>
              </a:extLst>
            </xdr:cNvPr>
            <xdr:cNvSpPr txBox="1"/>
          </xdr:nvSpPr>
          <xdr:spPr>
            <a:xfrm>
              <a:off x="328612" y="18626137"/>
              <a:ext cx="2367186" cy="322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77698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41002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6015000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20501 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556 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504658BA-5B97-4BE8-9297-31F9CD6415AD}"/>
                </a:ext>
              </a:extLst>
            </xdr:cNvPr>
            <xdr:cNvSpPr txBox="1"/>
          </xdr:nvSpPr>
          <xdr:spPr>
            <a:xfrm>
              <a:off x="328612" y="18626137"/>
              <a:ext cx="2367186" cy="3225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[77698/41002  𝑥 6015000]+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[20501 𝑥 556 ]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309562</xdr:colOff>
      <xdr:row>100</xdr:row>
      <xdr:rowOff>138112</xdr:rowOff>
    </xdr:from>
    <xdr:ext cx="174015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7F87EF9F-89F7-46AF-A7EB-58D4DFAF2BC1}"/>
                </a:ext>
              </a:extLst>
            </xdr:cNvPr>
            <xdr:cNvSpPr txBox="1"/>
          </xdr:nvSpPr>
          <xdr:spPr>
            <a:xfrm>
              <a:off x="309562" y="19188112"/>
              <a:ext cx="174015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11398309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begChr m:val="["/>
                        <m:endChr m:val="]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11398556 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7F87EF9F-89F7-46AF-A7EB-58D4DFAF2BC1}"/>
                </a:ext>
              </a:extLst>
            </xdr:cNvPr>
            <xdr:cNvSpPr txBox="1"/>
          </xdr:nvSpPr>
          <xdr:spPr>
            <a:xfrm>
              <a:off x="309562" y="19188112"/>
              <a:ext cx="174015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[11398309]+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11398556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]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endParaRPr lang="en-ID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</xdr:colOff>
      <xdr:row>65</xdr:row>
      <xdr:rowOff>161925</xdr:rowOff>
    </xdr:from>
    <xdr:ext cx="392864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7DFA1D-93E8-4FFF-8659-059E3D1D0E57}"/>
                </a:ext>
              </a:extLst>
            </xdr:cNvPr>
            <xdr:cNvSpPr txBox="1"/>
          </xdr:nvSpPr>
          <xdr:spPr>
            <a:xfrm>
              <a:off x="13087350" y="13163550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7DFA1D-93E8-4FFF-8659-059E3D1D0E57}"/>
                </a:ext>
              </a:extLst>
            </xdr:cNvPr>
            <xdr:cNvSpPr txBox="1"/>
          </xdr:nvSpPr>
          <xdr:spPr>
            <a:xfrm>
              <a:off x="13087350" y="13163550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2𝐷𝑆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9</xdr:col>
      <xdr:colOff>0</xdr:colOff>
      <xdr:row>69</xdr:row>
      <xdr:rowOff>0</xdr:rowOff>
    </xdr:from>
    <xdr:ext cx="1339534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A902CCC-34FD-4D77-875C-317249D7F84F}"/>
                </a:ext>
              </a:extLst>
            </xdr:cNvPr>
            <xdr:cNvSpPr txBox="1"/>
          </xdr:nvSpPr>
          <xdr:spPr>
            <a:xfrm>
              <a:off x="13068300" y="13801725"/>
              <a:ext cx="133953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730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6.590.000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50.400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A902CCC-34FD-4D77-875C-317249D7F84F}"/>
                </a:ext>
              </a:extLst>
            </xdr:cNvPr>
            <xdr:cNvSpPr txBox="1"/>
          </xdr:nvSpPr>
          <xdr:spPr>
            <a:xfrm>
              <a:off x="13068300" y="13801725"/>
              <a:ext cx="133953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 𝑥 730 𝑥 6.590.000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50.400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561975</xdr:colOff>
      <xdr:row>71</xdr:row>
      <xdr:rowOff>171450</xdr:rowOff>
    </xdr:from>
    <xdr:ext cx="100745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55FE87D-3BB5-4C23-8355-7C42A1766D73}"/>
                </a:ext>
              </a:extLst>
            </xdr:cNvPr>
            <xdr:cNvSpPr txBox="1"/>
          </xdr:nvSpPr>
          <xdr:spPr>
            <a:xfrm>
              <a:off x="13020675" y="14373225"/>
              <a:ext cx="100745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9.621.400.000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50.400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55FE87D-3BB5-4C23-8355-7C42A1766D73}"/>
                </a:ext>
              </a:extLst>
            </xdr:cNvPr>
            <xdr:cNvSpPr txBox="1"/>
          </xdr:nvSpPr>
          <xdr:spPr>
            <a:xfrm>
              <a:off x="13020675" y="14373225"/>
              <a:ext cx="100745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9.621.400.000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50.400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590550</xdr:colOff>
      <xdr:row>74</xdr:row>
      <xdr:rowOff>190500</xdr:rowOff>
    </xdr:from>
    <xdr:ext cx="946541" cy="2049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9E9E328-7373-49C8-B928-611C3E752F31}"/>
                </a:ext>
              </a:extLst>
            </xdr:cNvPr>
            <xdr:cNvSpPr txBox="1"/>
          </xdr:nvSpPr>
          <xdr:spPr>
            <a:xfrm>
              <a:off x="13049250" y="14992350"/>
              <a:ext cx="946541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190900,7937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9E9E328-7373-49C8-B928-611C3E752F31}"/>
                </a:ext>
              </a:extLst>
            </xdr:cNvPr>
            <xdr:cNvSpPr txBox="1"/>
          </xdr:nvSpPr>
          <xdr:spPr>
            <a:xfrm>
              <a:off x="13049250" y="14992350"/>
              <a:ext cx="946541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190900,7937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285750</xdr:colOff>
      <xdr:row>70</xdr:row>
      <xdr:rowOff>19050</xdr:rowOff>
    </xdr:from>
    <xdr:ext cx="314894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C9194F6-FCC3-47AC-A372-B6B990976182}"/>
                </a:ext>
              </a:extLst>
            </xdr:cNvPr>
            <xdr:cNvSpPr txBox="1"/>
          </xdr:nvSpPr>
          <xdr:spPr>
            <a:xfrm>
              <a:off x="8753475" y="14020800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𝐸𝑂𝑄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C9194F6-FCC3-47AC-A372-B6B990976182}"/>
                </a:ext>
              </a:extLst>
            </xdr:cNvPr>
            <xdr:cNvSpPr txBox="1"/>
          </xdr:nvSpPr>
          <xdr:spPr>
            <a:xfrm>
              <a:off x="8753475" y="14020800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𝐸𝑂𝑄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276225</xdr:colOff>
      <xdr:row>72</xdr:row>
      <xdr:rowOff>19050</xdr:rowOff>
    </xdr:from>
    <xdr:ext cx="266163" cy="3181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3C62275-066F-41E3-9991-CB16187C635C}"/>
                </a:ext>
              </a:extLst>
            </xdr:cNvPr>
            <xdr:cNvSpPr txBox="1"/>
          </xdr:nvSpPr>
          <xdr:spPr>
            <a:xfrm>
              <a:off x="8743950" y="14420850"/>
              <a:ext cx="266163" cy="318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730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437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3C62275-066F-41E3-9991-CB16187C635C}"/>
                </a:ext>
              </a:extLst>
            </xdr:cNvPr>
            <xdr:cNvSpPr txBox="1"/>
          </xdr:nvSpPr>
          <xdr:spPr>
            <a:xfrm>
              <a:off x="8743950" y="14420850"/>
              <a:ext cx="266163" cy="318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730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437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295275</xdr:colOff>
      <xdr:row>70</xdr:row>
      <xdr:rowOff>28575</xdr:rowOff>
    </xdr:from>
    <xdr:ext cx="1770998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ECAED8E9-5506-4EBB-8855-FB471D6390B7}"/>
                </a:ext>
              </a:extLst>
            </xdr:cNvPr>
            <xdr:cNvSpPr txBox="1"/>
          </xdr:nvSpPr>
          <xdr:spPr>
            <a:xfrm>
              <a:off x="5133975" y="14030325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h𝑎𝑟𝑖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𝑑𝑎𝑙𝑎𝑚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𝑠𝑒𝑡𝑎h𝑢𝑛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𝐹𝑟𝑒𝑘𝑢𝑒𝑛𝑠𝑖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ECAED8E9-5506-4EBB-8855-FB471D6390B7}"/>
                </a:ext>
              </a:extLst>
            </xdr:cNvPr>
            <xdr:cNvSpPr txBox="1"/>
          </xdr:nvSpPr>
          <xdr:spPr>
            <a:xfrm>
              <a:off x="5133975" y="14030325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𝐽𝑢𝑚𝑙𝑎ℎ ℎ𝑎𝑟𝑖 𝑑𝑎𝑙𝑎𝑚 𝑠𝑒𝑡𝑎ℎ𝑢𝑛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𝐹𝑟𝑒𝑘𝑢𝑒𝑛𝑠𝑖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323850</xdr:colOff>
      <xdr:row>72</xdr:row>
      <xdr:rowOff>19050</xdr:rowOff>
    </xdr:from>
    <xdr:ext cx="266163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F96450C-EAE4-4262-A4F9-459BDDB3FD8D}"/>
                </a:ext>
              </a:extLst>
            </xdr:cNvPr>
            <xdr:cNvSpPr txBox="1"/>
          </xdr:nvSpPr>
          <xdr:spPr>
            <a:xfrm>
              <a:off x="5162550" y="14420850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365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F96450C-EAE4-4262-A4F9-459BDDB3FD8D}"/>
                </a:ext>
              </a:extLst>
            </xdr:cNvPr>
            <xdr:cNvSpPr txBox="1"/>
          </xdr:nvSpPr>
          <xdr:spPr>
            <a:xfrm>
              <a:off x="5162550" y="14420850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365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361950</xdr:colOff>
      <xdr:row>101</xdr:row>
      <xdr:rowOff>180975</xdr:rowOff>
    </xdr:from>
    <xdr:ext cx="77918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9C74CF60-61B4-4BB4-984C-49230F7CADB0}"/>
                </a:ext>
              </a:extLst>
            </xdr:cNvPr>
            <xdr:cNvSpPr txBox="1"/>
          </xdr:nvSpPr>
          <xdr:spPr>
            <a:xfrm>
              <a:off x="361950" y="20383500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(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𝑋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bar>
                                      <m:barPr>
                                        <m:pos m:val="top"/>
                                        <m:ctrlP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bar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𝑋</m:t>
                                        </m:r>
                                      </m:e>
                                    </m:ba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9C74CF60-61B4-4BB4-984C-49230F7CADB0}"/>
                </a:ext>
              </a:extLst>
            </xdr:cNvPr>
            <xdr:cNvSpPr txBox="1"/>
          </xdr:nvSpPr>
          <xdr:spPr>
            <a:xfrm>
              <a:off x="361950" y="20383500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(𝑋−¯𝑋)〗^</a:t>
              </a:r>
              <a:r>
                <a:rPr lang="en-US" sz="1100" b="0" i="0">
                  <a:latin typeface="Cambria Math" panose="02040503050406030204" pitchFamily="18" charset="0"/>
                </a:rPr>
                <a:t>2 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342900</xdr:colOff>
      <xdr:row>104</xdr:row>
      <xdr:rowOff>152400</xdr:rowOff>
    </xdr:from>
    <xdr:ext cx="452111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A63C492-8EBA-483F-9601-DF4B7DF8B2E9}"/>
                </a:ext>
              </a:extLst>
            </xdr:cNvPr>
            <xdr:cNvSpPr txBox="1"/>
          </xdr:nvSpPr>
          <xdr:spPr>
            <a:xfrm>
              <a:off x="342900" y="2095500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1488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A63C492-8EBA-483F-9601-DF4B7DF8B2E9}"/>
                </a:ext>
              </a:extLst>
            </xdr:cNvPr>
            <xdr:cNvSpPr txBox="1"/>
          </xdr:nvSpPr>
          <xdr:spPr>
            <a:xfrm>
              <a:off x="342900" y="2095500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1488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12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107</xdr:row>
      <xdr:rowOff>190500</xdr:rowOff>
    </xdr:from>
    <xdr:ext cx="358816" cy="1957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EAED2C02-1F8D-42E0-9277-B45EFF10DC79}"/>
                </a:ext>
              </a:extLst>
            </xdr:cNvPr>
            <xdr:cNvSpPr txBox="1"/>
          </xdr:nvSpPr>
          <xdr:spPr>
            <a:xfrm>
              <a:off x="333375" y="21593175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124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EAED2C02-1F8D-42E0-9277-B45EFF10DC79}"/>
                </a:ext>
              </a:extLst>
            </xdr:cNvPr>
            <xdr:cNvSpPr txBox="1"/>
          </xdr:nvSpPr>
          <xdr:spPr>
            <a:xfrm>
              <a:off x="333375" y="21593175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124</a:t>
              </a:r>
              <a:endParaRPr lang="en-ID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A3A3-0314-4BDF-822A-F6DFB783F94F}">
  <dimension ref="A1:L79"/>
  <sheetViews>
    <sheetView workbookViewId="0">
      <selection activeCell="A12" sqref="A12:D12"/>
    </sheetView>
  </sheetViews>
  <sheetFormatPr defaultRowHeight="15" x14ac:dyDescent="0.25"/>
  <cols>
    <col min="1" max="1" width="16.42578125" customWidth="1"/>
    <col min="2" max="2" width="14" customWidth="1"/>
    <col min="3" max="3" width="13.28515625" customWidth="1"/>
    <col min="4" max="4" width="12.140625" customWidth="1"/>
    <col min="5" max="5" width="17.85546875" customWidth="1"/>
    <col min="6" max="6" width="15.7109375" customWidth="1"/>
    <col min="7" max="7" width="17.140625" customWidth="1"/>
    <col min="8" max="8" width="19.140625" customWidth="1"/>
    <col min="9" max="9" width="20.140625" customWidth="1"/>
  </cols>
  <sheetData>
    <row r="1" spans="1:12" x14ac:dyDescent="0.25">
      <c r="A1" t="s">
        <v>4</v>
      </c>
    </row>
    <row r="2" spans="1:12" x14ac:dyDescent="0.25">
      <c r="A2" s="48" t="s">
        <v>5</v>
      </c>
      <c r="B2" s="48"/>
      <c r="C2" s="48"/>
      <c r="D2" s="48"/>
    </row>
    <row r="3" spans="1:12" x14ac:dyDescent="0.25">
      <c r="A3" s="49" t="s">
        <v>6</v>
      </c>
      <c r="B3" s="50"/>
      <c r="C3" s="6" t="s">
        <v>7</v>
      </c>
      <c r="D3" s="6"/>
      <c r="F3" s="51" t="s">
        <v>8</v>
      </c>
      <c r="G3" s="52"/>
      <c r="H3" s="52"/>
      <c r="I3" s="52"/>
      <c r="J3" s="52"/>
      <c r="K3" s="52"/>
      <c r="L3" s="53"/>
    </row>
    <row r="4" spans="1:12" x14ac:dyDescent="0.25">
      <c r="A4" s="54">
        <v>15000</v>
      </c>
      <c r="B4" s="54"/>
      <c r="C4" s="54">
        <v>6000000</v>
      </c>
      <c r="D4" s="54"/>
      <c r="F4" s="51" t="s">
        <v>9</v>
      </c>
      <c r="G4" s="52"/>
      <c r="H4" s="52"/>
      <c r="I4" s="52"/>
      <c r="J4" s="52"/>
      <c r="K4" s="52"/>
      <c r="L4" s="53"/>
    </row>
    <row r="5" spans="1:12" x14ac:dyDescent="0.25">
      <c r="A5" s="55" t="s">
        <v>14</v>
      </c>
      <c r="B5" s="55"/>
      <c r="C5" s="55"/>
      <c r="D5" s="55"/>
      <c r="F5" s="56" t="s">
        <v>10</v>
      </c>
      <c r="G5" s="57"/>
      <c r="H5" s="57"/>
      <c r="I5" s="57"/>
      <c r="J5" s="57"/>
      <c r="K5" s="57"/>
      <c r="L5" s="58"/>
    </row>
    <row r="6" spans="1:12" x14ac:dyDescent="0.25">
      <c r="A6" s="55">
        <v>6015000</v>
      </c>
      <c r="B6" s="55"/>
      <c r="C6" s="55"/>
      <c r="D6" s="55"/>
      <c r="F6" s="59">
        <v>6000000</v>
      </c>
      <c r="G6" s="60"/>
      <c r="H6" s="60"/>
      <c r="I6" s="60"/>
      <c r="J6" s="60"/>
      <c r="K6" s="60"/>
      <c r="L6" s="61"/>
    </row>
    <row r="7" spans="1:12" x14ac:dyDescent="0.25">
      <c r="A7" s="48" t="s">
        <v>2</v>
      </c>
      <c r="B7" s="48"/>
      <c r="C7" s="48"/>
      <c r="D7" s="48"/>
      <c r="F7" s="51" t="s">
        <v>17</v>
      </c>
      <c r="G7" s="52"/>
      <c r="H7" s="52"/>
      <c r="I7" s="52"/>
      <c r="J7" s="52"/>
      <c r="K7" s="52"/>
      <c r="L7" s="53"/>
    </row>
    <row r="8" spans="1:12" x14ac:dyDescent="0.25">
      <c r="A8" s="5" t="s">
        <v>11</v>
      </c>
      <c r="B8" s="5" t="s">
        <v>12</v>
      </c>
      <c r="C8" s="64" t="s">
        <v>13</v>
      </c>
      <c r="D8" s="64"/>
      <c r="F8" s="51" t="s">
        <v>21</v>
      </c>
      <c r="G8" s="52"/>
      <c r="H8" s="52"/>
      <c r="I8" s="52"/>
      <c r="J8" s="52"/>
      <c r="K8" s="52"/>
      <c r="L8" s="53"/>
    </row>
    <row r="9" spans="1:12" x14ac:dyDescent="0.25">
      <c r="A9" s="2">
        <v>1000000</v>
      </c>
      <c r="B9" s="2">
        <v>600000</v>
      </c>
      <c r="C9" s="65">
        <v>200000</v>
      </c>
      <c r="D9" s="65"/>
    </row>
    <row r="10" spans="1:12" x14ac:dyDescent="0.25">
      <c r="A10" s="66" t="s">
        <v>14</v>
      </c>
      <c r="B10" s="66"/>
      <c r="C10" s="66"/>
      <c r="D10" s="66"/>
    </row>
    <row r="11" spans="1:12" x14ac:dyDescent="0.25">
      <c r="A11" s="55">
        <v>1800000</v>
      </c>
      <c r="B11" s="55"/>
      <c r="C11" s="55"/>
      <c r="D11" s="55"/>
    </row>
    <row r="12" spans="1:12" x14ac:dyDescent="0.25">
      <c r="A12" s="67" t="s">
        <v>15</v>
      </c>
      <c r="B12" s="68"/>
      <c r="C12" s="68"/>
      <c r="D12" s="69"/>
    </row>
    <row r="13" spans="1:12" x14ac:dyDescent="0.25">
      <c r="A13" s="49" t="s">
        <v>16</v>
      </c>
      <c r="B13" s="70"/>
      <c r="C13" s="70"/>
      <c r="D13" s="50"/>
    </row>
    <row r="14" spans="1:12" x14ac:dyDescent="0.25">
      <c r="A14" s="71">
        <v>518450</v>
      </c>
      <c r="B14" s="72"/>
      <c r="C14" s="72"/>
      <c r="D14" s="73"/>
    </row>
    <row r="16" spans="1:12" x14ac:dyDescent="0.25">
      <c r="A16" s="4" t="s">
        <v>0</v>
      </c>
      <c r="B16" s="4" t="s">
        <v>18</v>
      </c>
      <c r="C16" s="4" t="s">
        <v>19</v>
      </c>
      <c r="D16" s="4" t="s">
        <v>20</v>
      </c>
      <c r="E16" s="4" t="s">
        <v>1</v>
      </c>
      <c r="F16" s="4" t="s">
        <v>15</v>
      </c>
      <c r="G16" s="4" t="s">
        <v>22</v>
      </c>
      <c r="H16" s="4" t="s">
        <v>2</v>
      </c>
      <c r="I16" s="4" t="s">
        <v>3</v>
      </c>
    </row>
    <row r="17" spans="1:9" x14ac:dyDescent="0.25">
      <c r="A17" s="1">
        <v>1</v>
      </c>
      <c r="B17" s="1">
        <v>49</v>
      </c>
      <c r="C17" s="1">
        <v>49</v>
      </c>
      <c r="D17" s="1">
        <f>B17-C17</f>
        <v>0</v>
      </c>
      <c r="E17" s="1">
        <v>3</v>
      </c>
      <c r="F17" s="3">
        <f>B17*$A$14</f>
        <v>25404050</v>
      </c>
      <c r="G17" s="3">
        <f>E17*$A$6</f>
        <v>18045000</v>
      </c>
      <c r="H17" s="3">
        <f>A11</f>
        <v>1800000</v>
      </c>
      <c r="I17" s="3">
        <f>SUM(F17:H17)</f>
        <v>45249050</v>
      </c>
    </row>
    <row r="18" spans="1:9" x14ac:dyDescent="0.25">
      <c r="A18" s="1">
        <v>2</v>
      </c>
      <c r="B18" s="1">
        <v>55</v>
      </c>
      <c r="C18" s="1">
        <v>50</v>
      </c>
      <c r="D18" s="1">
        <f>B18-C18</f>
        <v>5</v>
      </c>
      <c r="E18" s="1">
        <v>4</v>
      </c>
      <c r="F18" s="3">
        <f>B18*$A$14</f>
        <v>28514750</v>
      </c>
      <c r="G18" s="3">
        <f>E18*$A$6</f>
        <v>24060000</v>
      </c>
      <c r="H18" s="3">
        <f>$A$11</f>
        <v>1800000</v>
      </c>
      <c r="I18" s="3">
        <f>SUM(F18:H18)</f>
        <v>54374750</v>
      </c>
    </row>
    <row r="19" spans="1:9" x14ac:dyDescent="0.25">
      <c r="A19" s="1">
        <v>3</v>
      </c>
      <c r="B19" s="1">
        <v>61</v>
      </c>
      <c r="C19" s="1">
        <v>57</v>
      </c>
      <c r="D19" s="1">
        <f t="shared" ref="D19:D40" si="0">D18+B19-C19</f>
        <v>9</v>
      </c>
      <c r="E19" s="1">
        <v>3</v>
      </c>
      <c r="F19" s="3">
        <f t="shared" ref="F19:F40" si="1">B19*$A$14</f>
        <v>31625450</v>
      </c>
      <c r="G19" s="3">
        <f t="shared" ref="G19:G40" si="2">E19*$A$6</f>
        <v>18045000</v>
      </c>
      <c r="H19" s="3">
        <f>$A$11</f>
        <v>1800000</v>
      </c>
      <c r="I19" s="3">
        <f>SUM(F19:H19)</f>
        <v>51470450</v>
      </c>
    </row>
    <row r="20" spans="1:9" x14ac:dyDescent="0.25">
      <c r="A20" s="1">
        <v>4</v>
      </c>
      <c r="B20" s="1">
        <v>59</v>
      </c>
      <c r="C20" s="1">
        <v>65</v>
      </c>
      <c r="D20" s="1">
        <f t="shared" si="0"/>
        <v>3</v>
      </c>
      <c r="E20" s="1">
        <v>3</v>
      </c>
      <c r="F20" s="3">
        <f t="shared" si="1"/>
        <v>30588550</v>
      </c>
      <c r="G20" s="3">
        <f t="shared" si="2"/>
        <v>18045000</v>
      </c>
      <c r="H20" s="3">
        <f t="shared" ref="H20:H40" si="3">$A$11</f>
        <v>1800000</v>
      </c>
      <c r="I20" s="3">
        <f t="shared" ref="I20:I40" si="4">SUM(F20:H20)</f>
        <v>50433550</v>
      </c>
    </row>
    <row r="21" spans="1:9" x14ac:dyDescent="0.25">
      <c r="A21" s="1">
        <v>5</v>
      </c>
      <c r="B21" s="1">
        <v>52</v>
      </c>
      <c r="C21" s="1">
        <v>55</v>
      </c>
      <c r="D21" s="1">
        <f t="shared" si="0"/>
        <v>0</v>
      </c>
      <c r="E21" s="1">
        <v>3</v>
      </c>
      <c r="F21" s="3">
        <f t="shared" si="1"/>
        <v>26959400</v>
      </c>
      <c r="G21" s="3">
        <f t="shared" si="2"/>
        <v>18045000</v>
      </c>
      <c r="H21" s="3">
        <f t="shared" si="3"/>
        <v>1800000</v>
      </c>
      <c r="I21" s="3">
        <f t="shared" si="4"/>
        <v>46804400</v>
      </c>
    </row>
    <row r="22" spans="1:9" x14ac:dyDescent="0.25">
      <c r="A22" s="1">
        <v>6</v>
      </c>
      <c r="B22" s="1">
        <v>51</v>
      </c>
      <c r="C22" s="1">
        <v>51</v>
      </c>
      <c r="D22" s="1">
        <f t="shared" si="0"/>
        <v>0</v>
      </c>
      <c r="E22" s="1">
        <v>4</v>
      </c>
      <c r="F22" s="3">
        <f t="shared" si="1"/>
        <v>26440950</v>
      </c>
      <c r="G22" s="3">
        <f t="shared" si="2"/>
        <v>24060000</v>
      </c>
      <c r="H22" s="3">
        <f t="shared" si="3"/>
        <v>1800000</v>
      </c>
      <c r="I22" s="3">
        <f t="shared" si="4"/>
        <v>52300950</v>
      </c>
    </row>
    <row r="23" spans="1:9" x14ac:dyDescent="0.25">
      <c r="A23" s="1">
        <v>7</v>
      </c>
      <c r="B23" s="1">
        <v>55</v>
      </c>
      <c r="C23" s="1">
        <v>55</v>
      </c>
      <c r="D23" s="1">
        <f t="shared" si="0"/>
        <v>0</v>
      </c>
      <c r="E23" s="1">
        <v>4</v>
      </c>
      <c r="F23" s="3">
        <f t="shared" si="1"/>
        <v>28514750</v>
      </c>
      <c r="G23" s="3">
        <f t="shared" si="2"/>
        <v>24060000</v>
      </c>
      <c r="H23" s="3">
        <f t="shared" si="3"/>
        <v>1800000</v>
      </c>
      <c r="I23" s="3">
        <f t="shared" si="4"/>
        <v>54374750</v>
      </c>
    </row>
    <row r="24" spans="1:9" x14ac:dyDescent="0.25">
      <c r="A24" s="1">
        <v>8</v>
      </c>
      <c r="B24" s="1">
        <v>42</v>
      </c>
      <c r="C24" s="1">
        <v>40</v>
      </c>
      <c r="D24" s="1">
        <f t="shared" si="0"/>
        <v>2</v>
      </c>
      <c r="E24" s="1">
        <v>3</v>
      </c>
      <c r="F24" s="3">
        <f t="shared" si="1"/>
        <v>21774900</v>
      </c>
      <c r="G24" s="3">
        <f t="shared" si="2"/>
        <v>18045000</v>
      </c>
      <c r="H24" s="3">
        <f t="shared" si="3"/>
        <v>1800000</v>
      </c>
      <c r="I24" s="3">
        <f t="shared" si="4"/>
        <v>41619900</v>
      </c>
    </row>
    <row r="25" spans="1:9" x14ac:dyDescent="0.25">
      <c r="A25" s="1">
        <v>9</v>
      </c>
      <c r="B25" s="1">
        <v>45</v>
      </c>
      <c r="C25" s="1">
        <v>40</v>
      </c>
      <c r="D25" s="1">
        <f t="shared" si="0"/>
        <v>7</v>
      </c>
      <c r="E25" s="1">
        <v>3</v>
      </c>
      <c r="F25" s="3">
        <f t="shared" si="1"/>
        <v>23330250</v>
      </c>
      <c r="G25" s="3">
        <f t="shared" si="2"/>
        <v>18045000</v>
      </c>
      <c r="H25" s="3">
        <f t="shared" si="3"/>
        <v>1800000</v>
      </c>
      <c r="I25" s="3">
        <f t="shared" si="4"/>
        <v>43175250</v>
      </c>
    </row>
    <row r="26" spans="1:9" x14ac:dyDescent="0.25">
      <c r="A26" s="1">
        <v>10</v>
      </c>
      <c r="B26" s="1">
        <v>53</v>
      </c>
      <c r="C26" s="1">
        <v>50</v>
      </c>
      <c r="D26" s="1">
        <f t="shared" si="0"/>
        <v>10</v>
      </c>
      <c r="E26" s="1">
        <v>4</v>
      </c>
      <c r="F26" s="3">
        <f t="shared" si="1"/>
        <v>27477850</v>
      </c>
      <c r="G26" s="3">
        <f t="shared" si="2"/>
        <v>24060000</v>
      </c>
      <c r="H26" s="3">
        <f t="shared" si="3"/>
        <v>1800000</v>
      </c>
      <c r="I26" s="3">
        <f t="shared" si="4"/>
        <v>53337850</v>
      </c>
    </row>
    <row r="27" spans="1:9" x14ac:dyDescent="0.25">
      <c r="A27" s="1">
        <v>11</v>
      </c>
      <c r="B27" s="1">
        <v>68</v>
      </c>
      <c r="C27" s="1">
        <v>72</v>
      </c>
      <c r="D27" s="1">
        <f t="shared" si="0"/>
        <v>6</v>
      </c>
      <c r="E27" s="1">
        <v>3</v>
      </c>
      <c r="F27" s="3">
        <f t="shared" si="1"/>
        <v>35254600</v>
      </c>
      <c r="G27" s="3">
        <f t="shared" si="2"/>
        <v>18045000</v>
      </c>
      <c r="H27" s="3">
        <f t="shared" si="3"/>
        <v>1800000</v>
      </c>
      <c r="I27" s="3">
        <f t="shared" si="4"/>
        <v>55099600</v>
      </c>
    </row>
    <row r="28" spans="1:9" x14ac:dyDescent="0.25">
      <c r="A28" s="1">
        <v>12</v>
      </c>
      <c r="B28" s="1">
        <v>65</v>
      </c>
      <c r="C28" s="1">
        <v>70</v>
      </c>
      <c r="D28" s="1">
        <f t="shared" si="0"/>
        <v>1</v>
      </c>
      <c r="E28" s="1">
        <v>4</v>
      </c>
      <c r="F28" s="3">
        <f t="shared" si="1"/>
        <v>33699250</v>
      </c>
      <c r="G28" s="3">
        <f t="shared" si="2"/>
        <v>24060000</v>
      </c>
      <c r="H28" s="3">
        <f t="shared" si="3"/>
        <v>1800000</v>
      </c>
      <c r="I28" s="3">
        <f t="shared" si="4"/>
        <v>59559250</v>
      </c>
    </row>
    <row r="29" spans="1:9" x14ac:dyDescent="0.25">
      <c r="A29" s="1">
        <v>13</v>
      </c>
      <c r="B29" s="1">
        <v>79</v>
      </c>
      <c r="C29" s="1">
        <v>60</v>
      </c>
      <c r="D29" s="1">
        <f t="shared" si="0"/>
        <v>20</v>
      </c>
      <c r="E29" s="1">
        <v>4</v>
      </c>
      <c r="F29" s="3">
        <f t="shared" si="1"/>
        <v>40957550</v>
      </c>
      <c r="G29" s="3">
        <f t="shared" si="2"/>
        <v>24060000</v>
      </c>
      <c r="H29" s="3">
        <f t="shared" si="3"/>
        <v>1800000</v>
      </c>
      <c r="I29" s="3">
        <f t="shared" si="4"/>
        <v>66817550</v>
      </c>
    </row>
    <row r="30" spans="1:9" x14ac:dyDescent="0.25">
      <c r="A30" s="1">
        <v>14</v>
      </c>
      <c r="B30" s="1">
        <v>55</v>
      </c>
      <c r="C30" s="1">
        <v>50</v>
      </c>
      <c r="D30" s="1">
        <f t="shared" si="0"/>
        <v>25</v>
      </c>
      <c r="E30" s="1">
        <v>4</v>
      </c>
      <c r="F30" s="3">
        <f t="shared" si="1"/>
        <v>28514750</v>
      </c>
      <c r="G30" s="3">
        <f t="shared" si="2"/>
        <v>24060000</v>
      </c>
      <c r="H30" s="3">
        <f t="shared" si="3"/>
        <v>1800000</v>
      </c>
      <c r="I30" s="3">
        <f t="shared" si="4"/>
        <v>54374750</v>
      </c>
    </row>
    <row r="31" spans="1:9" x14ac:dyDescent="0.25">
      <c r="A31" s="1">
        <v>15</v>
      </c>
      <c r="B31" s="1">
        <v>78</v>
      </c>
      <c r="C31" s="1">
        <v>70</v>
      </c>
      <c r="D31" s="1">
        <f t="shared" si="0"/>
        <v>33</v>
      </c>
      <c r="E31" s="1">
        <v>3</v>
      </c>
      <c r="F31" s="3">
        <f t="shared" si="1"/>
        <v>40439100</v>
      </c>
      <c r="G31" s="3">
        <f t="shared" si="2"/>
        <v>18045000</v>
      </c>
      <c r="H31" s="3">
        <f t="shared" si="3"/>
        <v>1800000</v>
      </c>
      <c r="I31" s="3">
        <f t="shared" si="4"/>
        <v>60284100</v>
      </c>
    </row>
    <row r="32" spans="1:9" x14ac:dyDescent="0.25">
      <c r="A32" s="1">
        <v>16</v>
      </c>
      <c r="B32" s="1">
        <v>68</v>
      </c>
      <c r="C32" s="1">
        <v>75</v>
      </c>
      <c r="D32" s="1">
        <f t="shared" si="0"/>
        <v>26</v>
      </c>
      <c r="E32" s="1">
        <v>3</v>
      </c>
      <c r="F32" s="3">
        <f t="shared" si="1"/>
        <v>35254600</v>
      </c>
      <c r="G32" s="3">
        <f t="shared" si="2"/>
        <v>18045000</v>
      </c>
      <c r="H32" s="3">
        <f t="shared" si="3"/>
        <v>1800000</v>
      </c>
      <c r="I32" s="3">
        <f t="shared" si="4"/>
        <v>55099600</v>
      </c>
    </row>
    <row r="33" spans="1:9" x14ac:dyDescent="0.25">
      <c r="A33" s="1">
        <v>17</v>
      </c>
      <c r="B33" s="1">
        <v>63</v>
      </c>
      <c r="C33" s="1">
        <v>70</v>
      </c>
      <c r="D33" s="1">
        <f t="shared" si="0"/>
        <v>19</v>
      </c>
      <c r="E33" s="1">
        <v>3</v>
      </c>
      <c r="F33" s="3">
        <f t="shared" si="1"/>
        <v>32662350</v>
      </c>
      <c r="G33" s="3">
        <f t="shared" si="2"/>
        <v>18045000</v>
      </c>
      <c r="H33" s="3">
        <f t="shared" si="3"/>
        <v>1800000</v>
      </c>
      <c r="I33" s="3">
        <f t="shared" si="4"/>
        <v>52507350</v>
      </c>
    </row>
    <row r="34" spans="1:9" x14ac:dyDescent="0.25">
      <c r="A34" s="1">
        <v>18</v>
      </c>
      <c r="B34" s="1">
        <v>59</v>
      </c>
      <c r="C34" s="1">
        <v>65</v>
      </c>
      <c r="D34" s="1">
        <f t="shared" si="0"/>
        <v>13</v>
      </c>
      <c r="E34" s="1">
        <v>4</v>
      </c>
      <c r="F34" s="3">
        <f t="shared" si="1"/>
        <v>30588550</v>
      </c>
      <c r="G34" s="3">
        <f t="shared" si="2"/>
        <v>24060000</v>
      </c>
      <c r="H34" s="3">
        <f t="shared" si="3"/>
        <v>1800000</v>
      </c>
      <c r="I34" s="3">
        <f t="shared" si="4"/>
        <v>56448550</v>
      </c>
    </row>
    <row r="35" spans="1:9" x14ac:dyDescent="0.25">
      <c r="A35" s="1">
        <v>19</v>
      </c>
      <c r="B35" s="1">
        <v>79</v>
      </c>
      <c r="C35" s="1">
        <v>80</v>
      </c>
      <c r="D35" s="1">
        <f t="shared" si="0"/>
        <v>12</v>
      </c>
      <c r="E35" s="1">
        <v>3</v>
      </c>
      <c r="F35" s="3">
        <f t="shared" si="1"/>
        <v>40957550</v>
      </c>
      <c r="G35" s="3">
        <f t="shared" si="2"/>
        <v>18045000</v>
      </c>
      <c r="H35" s="3">
        <f t="shared" si="3"/>
        <v>1800000</v>
      </c>
      <c r="I35" s="3">
        <f t="shared" si="4"/>
        <v>60802550</v>
      </c>
    </row>
    <row r="36" spans="1:9" x14ac:dyDescent="0.25">
      <c r="A36" s="1">
        <v>20</v>
      </c>
      <c r="B36" s="1">
        <v>79</v>
      </c>
      <c r="C36" s="1">
        <v>85</v>
      </c>
      <c r="D36" s="1">
        <f t="shared" si="0"/>
        <v>6</v>
      </c>
      <c r="E36" s="1">
        <v>3</v>
      </c>
      <c r="F36" s="3">
        <f t="shared" si="1"/>
        <v>40957550</v>
      </c>
      <c r="G36" s="3">
        <f t="shared" si="2"/>
        <v>18045000</v>
      </c>
      <c r="H36" s="3">
        <f t="shared" si="3"/>
        <v>1800000</v>
      </c>
      <c r="I36" s="3">
        <f>SUM(F36:H36)</f>
        <v>60802550</v>
      </c>
    </row>
    <row r="37" spans="1:9" x14ac:dyDescent="0.25">
      <c r="A37" s="1">
        <v>21</v>
      </c>
      <c r="B37" s="1">
        <v>88</v>
      </c>
      <c r="C37" s="1">
        <v>90</v>
      </c>
      <c r="D37" s="1">
        <f t="shared" si="0"/>
        <v>4</v>
      </c>
      <c r="E37" s="1">
        <v>4</v>
      </c>
      <c r="F37" s="3">
        <f t="shared" si="1"/>
        <v>45623600</v>
      </c>
      <c r="G37" s="3">
        <f t="shared" si="2"/>
        <v>24060000</v>
      </c>
      <c r="H37" s="3">
        <f t="shared" si="3"/>
        <v>1800000</v>
      </c>
      <c r="I37" s="3">
        <f t="shared" si="4"/>
        <v>71483600</v>
      </c>
    </row>
    <row r="38" spans="1:9" x14ac:dyDescent="0.25">
      <c r="A38" s="1">
        <v>22</v>
      </c>
      <c r="B38" s="1">
        <v>86</v>
      </c>
      <c r="C38" s="1">
        <v>80</v>
      </c>
      <c r="D38" s="1">
        <f t="shared" si="0"/>
        <v>10</v>
      </c>
      <c r="E38" s="1">
        <v>4</v>
      </c>
      <c r="F38" s="3">
        <f t="shared" si="1"/>
        <v>44586700</v>
      </c>
      <c r="G38" s="3">
        <f t="shared" si="2"/>
        <v>24060000</v>
      </c>
      <c r="H38" s="3">
        <f t="shared" si="3"/>
        <v>1800000</v>
      </c>
      <c r="I38" s="3">
        <f t="shared" si="4"/>
        <v>70446700</v>
      </c>
    </row>
    <row r="39" spans="1:9" x14ac:dyDescent="0.25">
      <c r="A39" s="1">
        <v>23</v>
      </c>
      <c r="B39" s="1">
        <v>83</v>
      </c>
      <c r="C39" s="1">
        <v>80</v>
      </c>
      <c r="D39" s="1">
        <f t="shared" si="0"/>
        <v>13</v>
      </c>
      <c r="E39" s="1">
        <v>3</v>
      </c>
      <c r="F39" s="3">
        <f t="shared" si="1"/>
        <v>43031350</v>
      </c>
      <c r="G39" s="3">
        <f t="shared" si="2"/>
        <v>18045000</v>
      </c>
      <c r="H39" s="3">
        <f t="shared" si="3"/>
        <v>1800000</v>
      </c>
      <c r="I39" s="3">
        <f t="shared" si="4"/>
        <v>62876350</v>
      </c>
    </row>
    <row r="40" spans="1:9" x14ac:dyDescent="0.25">
      <c r="A40" s="1">
        <v>24</v>
      </c>
      <c r="B40" s="1">
        <v>85</v>
      </c>
      <c r="C40" s="1">
        <v>85</v>
      </c>
      <c r="D40" s="1">
        <f t="shared" si="0"/>
        <v>13</v>
      </c>
      <c r="E40" s="1">
        <v>4</v>
      </c>
      <c r="F40" s="3">
        <f t="shared" si="1"/>
        <v>44068250</v>
      </c>
      <c r="G40" s="3">
        <f t="shared" si="2"/>
        <v>24060000</v>
      </c>
      <c r="H40" s="3">
        <f t="shared" si="3"/>
        <v>1800000</v>
      </c>
      <c r="I40" s="3">
        <f t="shared" si="4"/>
        <v>69928250</v>
      </c>
    </row>
    <row r="41" spans="1:9" x14ac:dyDescent="0.25">
      <c r="A41" s="4" t="s">
        <v>14</v>
      </c>
      <c r="B41" s="4">
        <f t="shared" ref="B41:I41" si="5">SUM(B17:B40)</f>
        <v>1557</v>
      </c>
      <c r="C41" s="4">
        <f t="shared" si="5"/>
        <v>1544</v>
      </c>
      <c r="D41" s="4">
        <f t="shared" si="5"/>
        <v>237</v>
      </c>
      <c r="E41" s="4">
        <f t="shared" si="5"/>
        <v>83</v>
      </c>
      <c r="F41" s="8">
        <f t="shared" si="5"/>
        <v>807226650</v>
      </c>
      <c r="G41" s="8">
        <f t="shared" si="5"/>
        <v>499245000</v>
      </c>
      <c r="H41" s="8">
        <f t="shared" si="5"/>
        <v>43200000</v>
      </c>
      <c r="I41" s="8">
        <f t="shared" si="5"/>
        <v>1349671650</v>
      </c>
    </row>
    <row r="43" spans="1:9" x14ac:dyDescent="0.25">
      <c r="A43" s="74" t="s">
        <v>23</v>
      </c>
      <c r="B43" s="75"/>
    </row>
    <row r="44" spans="1:9" x14ac:dyDescent="0.25">
      <c r="A44" s="62">
        <f>A4+C4</f>
        <v>6015000</v>
      </c>
      <c r="B44" s="63"/>
    </row>
    <row r="45" spans="1:9" x14ac:dyDescent="0.25">
      <c r="A45" s="74" t="s">
        <v>24</v>
      </c>
      <c r="B45" s="75"/>
    </row>
    <row r="46" spans="1:9" x14ac:dyDescent="0.25">
      <c r="A46" s="62">
        <f>H41/C41</f>
        <v>27979.274611398963</v>
      </c>
      <c r="B46" s="63"/>
    </row>
    <row r="48" spans="1:9" x14ac:dyDescent="0.25">
      <c r="A48" t="s">
        <v>25</v>
      </c>
    </row>
    <row r="49" spans="1:6" x14ac:dyDescent="0.25">
      <c r="C49" t="s">
        <v>32</v>
      </c>
    </row>
    <row r="50" spans="1:6" x14ac:dyDescent="0.25">
      <c r="A50" t="s">
        <v>30</v>
      </c>
      <c r="C50" t="s">
        <v>33</v>
      </c>
    </row>
    <row r="51" spans="1:6" x14ac:dyDescent="0.25">
      <c r="C51" t="s">
        <v>34</v>
      </c>
    </row>
    <row r="53" spans="1:6" x14ac:dyDescent="0.25">
      <c r="A53" t="s">
        <v>31</v>
      </c>
      <c r="D53">
        <v>2</v>
      </c>
      <c r="E53" s="7">
        <f>D53*C41*A44</f>
        <v>18574320000</v>
      </c>
    </row>
    <row r="54" spans="1:6" x14ac:dyDescent="0.25">
      <c r="E54">
        <f>E53/A46</f>
        <v>663859.95555555553</v>
      </c>
    </row>
    <row r="55" spans="1:6" x14ac:dyDescent="0.25">
      <c r="E55">
        <f>SQRT(E54)</f>
        <v>814.77601557455989</v>
      </c>
    </row>
    <row r="56" spans="1:6" x14ac:dyDescent="0.25">
      <c r="A56" t="s">
        <v>31</v>
      </c>
      <c r="E56">
        <v>1557</v>
      </c>
    </row>
    <row r="57" spans="1:6" x14ac:dyDescent="0.25">
      <c r="E57">
        <v>815</v>
      </c>
    </row>
    <row r="58" spans="1:6" x14ac:dyDescent="0.25">
      <c r="A58" t="s">
        <v>31</v>
      </c>
      <c r="E58">
        <f>E56-E57</f>
        <v>742</v>
      </c>
    </row>
    <row r="59" spans="1:6" x14ac:dyDescent="0.25">
      <c r="E59">
        <v>1544</v>
      </c>
      <c r="F59">
        <f>E59/E57</f>
        <v>1.8944785276073619</v>
      </c>
    </row>
    <row r="60" spans="1:6" x14ac:dyDescent="0.25">
      <c r="A60" t="s">
        <v>35</v>
      </c>
    </row>
    <row r="61" spans="1:6" x14ac:dyDescent="0.25">
      <c r="A61" t="s">
        <v>26</v>
      </c>
    </row>
    <row r="62" spans="1:6" x14ac:dyDescent="0.25">
      <c r="A62" t="s">
        <v>27</v>
      </c>
    </row>
    <row r="64" spans="1:6" x14ac:dyDescent="0.25">
      <c r="A64" t="s">
        <v>28</v>
      </c>
    </row>
    <row r="66" spans="1:6" x14ac:dyDescent="0.25">
      <c r="A66" t="s">
        <v>29</v>
      </c>
    </row>
    <row r="67" spans="1:6" x14ac:dyDescent="0.25">
      <c r="A67" t="s">
        <v>36</v>
      </c>
    </row>
    <row r="68" spans="1:6" x14ac:dyDescent="0.25">
      <c r="A68" t="s">
        <v>37</v>
      </c>
      <c r="E68">
        <v>430</v>
      </c>
      <c r="F68">
        <v>490</v>
      </c>
    </row>
    <row r="69" spans="1:6" x14ac:dyDescent="0.25">
      <c r="E69">
        <v>460</v>
      </c>
      <c r="F69">
        <v>440</v>
      </c>
    </row>
    <row r="70" spans="1:6" x14ac:dyDescent="0.25">
      <c r="E70">
        <v>520</v>
      </c>
      <c r="F70">
        <v>460</v>
      </c>
    </row>
    <row r="71" spans="1:6" x14ac:dyDescent="0.25">
      <c r="E71">
        <v>530</v>
      </c>
      <c r="F71">
        <v>490</v>
      </c>
    </row>
    <row r="72" spans="1:6" x14ac:dyDescent="0.25">
      <c r="A72" t="s">
        <v>37</v>
      </c>
      <c r="E72">
        <v>480</v>
      </c>
      <c r="F72">
        <v>510</v>
      </c>
    </row>
    <row r="73" spans="1:6" x14ac:dyDescent="0.25">
      <c r="E73">
        <v>470</v>
      </c>
      <c r="F73">
        <v>500</v>
      </c>
    </row>
    <row r="74" spans="1:6" x14ac:dyDescent="0.25">
      <c r="F74">
        <f>SUM(E68:F73)</f>
        <v>5780</v>
      </c>
    </row>
    <row r="75" spans="1:6" x14ac:dyDescent="0.25">
      <c r="F75">
        <f>AVERAGE(E68:F73)</f>
        <v>481.66666666666669</v>
      </c>
    </row>
    <row r="76" spans="1:6" x14ac:dyDescent="0.25">
      <c r="F76">
        <f>F74*F75</f>
        <v>2784033.3333333335</v>
      </c>
    </row>
    <row r="77" spans="1:6" x14ac:dyDescent="0.25">
      <c r="F77">
        <f>F76/12</f>
        <v>232002.77777777778</v>
      </c>
    </row>
    <row r="78" spans="1:6" x14ac:dyDescent="0.25">
      <c r="F78">
        <f>SQRT(F77)</f>
        <v>481.66666666666669</v>
      </c>
    </row>
    <row r="79" spans="1:6" x14ac:dyDescent="0.25">
      <c r="F79">
        <f>STDEV(E68:F73)</f>
        <v>30.993645487519871</v>
      </c>
    </row>
  </sheetData>
  <mergeCells count="24">
    <mergeCell ref="A46:B46"/>
    <mergeCell ref="C8:D8"/>
    <mergeCell ref="F8:L8"/>
    <mergeCell ref="C9:D9"/>
    <mergeCell ref="A10:D10"/>
    <mergeCell ref="A11:D11"/>
    <mergeCell ref="A12:D12"/>
    <mergeCell ref="A13:D13"/>
    <mergeCell ref="A14:D14"/>
    <mergeCell ref="A43:B43"/>
    <mergeCell ref="A44:B44"/>
    <mergeCell ref="A45:B45"/>
    <mergeCell ref="A5:D5"/>
    <mergeCell ref="F5:L5"/>
    <mergeCell ref="A6:D6"/>
    <mergeCell ref="F6:L6"/>
    <mergeCell ref="A7:D7"/>
    <mergeCell ref="F7:L7"/>
    <mergeCell ref="A2:D2"/>
    <mergeCell ref="A3:B3"/>
    <mergeCell ref="F3:L3"/>
    <mergeCell ref="A4:B4"/>
    <mergeCell ref="C4:D4"/>
    <mergeCell ref="F4:L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12A2B-A391-4F5F-B930-EB08D66EC7EB}">
  <dimension ref="A1:M104"/>
  <sheetViews>
    <sheetView workbookViewId="0">
      <selection activeCell="B23" sqref="B23:B34"/>
    </sheetView>
  </sheetViews>
  <sheetFormatPr defaultRowHeight="15" x14ac:dyDescent="0.25"/>
  <cols>
    <col min="1" max="1" width="16.42578125" customWidth="1"/>
    <col min="2" max="2" width="14" customWidth="1"/>
    <col min="3" max="3" width="15.42578125" customWidth="1"/>
    <col min="4" max="4" width="12.140625" customWidth="1"/>
    <col min="5" max="5" width="19.85546875" customWidth="1"/>
    <col min="6" max="6" width="19.28515625" customWidth="1"/>
    <col min="7" max="7" width="17.140625" customWidth="1"/>
    <col min="8" max="8" width="19.140625" customWidth="1"/>
    <col min="9" max="9" width="20.140625" customWidth="1"/>
    <col min="10" max="10" width="17.7109375" customWidth="1"/>
  </cols>
  <sheetData>
    <row r="1" spans="1:12" x14ac:dyDescent="0.25">
      <c r="A1" t="s">
        <v>52</v>
      </c>
    </row>
    <row r="2" spans="1:12" x14ac:dyDescent="0.25">
      <c r="A2" s="48" t="s">
        <v>5</v>
      </c>
      <c r="B2" s="48"/>
      <c r="C2" s="48"/>
      <c r="D2" s="48"/>
    </row>
    <row r="3" spans="1:12" x14ac:dyDescent="0.25">
      <c r="A3" s="49" t="s">
        <v>6</v>
      </c>
      <c r="B3" s="50"/>
      <c r="C3" s="6" t="s">
        <v>7</v>
      </c>
      <c r="D3" s="6"/>
      <c r="F3" s="51" t="s">
        <v>8</v>
      </c>
      <c r="G3" s="52"/>
      <c r="H3" s="52"/>
      <c r="I3" s="52"/>
      <c r="J3" s="52"/>
      <c r="K3" s="52"/>
      <c r="L3" s="53"/>
    </row>
    <row r="4" spans="1:12" x14ac:dyDescent="0.25">
      <c r="A4" s="54">
        <v>15000</v>
      </c>
      <c r="B4" s="54"/>
      <c r="C4" s="54">
        <v>6000000</v>
      </c>
      <c r="D4" s="54"/>
      <c r="F4" s="51" t="s">
        <v>9</v>
      </c>
      <c r="G4" s="52"/>
      <c r="H4" s="52"/>
      <c r="I4" s="52"/>
      <c r="J4" s="52"/>
      <c r="K4" s="52"/>
      <c r="L4" s="53"/>
    </row>
    <row r="5" spans="1:12" x14ac:dyDescent="0.25">
      <c r="A5" s="55" t="s">
        <v>14</v>
      </c>
      <c r="B5" s="55"/>
      <c r="C5" s="55"/>
      <c r="D5" s="55"/>
      <c r="F5" s="56" t="s">
        <v>10</v>
      </c>
      <c r="G5" s="57"/>
      <c r="H5" s="57"/>
      <c r="I5" s="57"/>
      <c r="J5" s="57"/>
      <c r="K5" s="57"/>
      <c r="L5" s="58"/>
    </row>
    <row r="6" spans="1:12" x14ac:dyDescent="0.25">
      <c r="A6" s="55">
        <v>6015000</v>
      </c>
      <c r="B6" s="55"/>
      <c r="C6" s="55"/>
      <c r="D6" s="55"/>
      <c r="F6" s="59">
        <v>6000000</v>
      </c>
      <c r="G6" s="60"/>
      <c r="H6" s="60"/>
      <c r="I6" s="60"/>
      <c r="J6" s="60"/>
      <c r="K6" s="60"/>
      <c r="L6" s="61"/>
    </row>
    <row r="7" spans="1:12" x14ac:dyDescent="0.25">
      <c r="A7" s="48" t="s">
        <v>2</v>
      </c>
      <c r="B7" s="48"/>
      <c r="C7" s="48"/>
      <c r="D7" s="48"/>
      <c r="F7" s="51" t="s">
        <v>17</v>
      </c>
      <c r="G7" s="52"/>
      <c r="H7" s="52"/>
      <c r="I7" s="52"/>
      <c r="J7" s="52"/>
      <c r="K7" s="52"/>
      <c r="L7" s="53"/>
    </row>
    <row r="8" spans="1:12" x14ac:dyDescent="0.25">
      <c r="A8" s="5" t="s">
        <v>11</v>
      </c>
      <c r="B8" s="5" t="s">
        <v>12</v>
      </c>
      <c r="C8" s="64" t="s">
        <v>13</v>
      </c>
      <c r="D8" s="64"/>
      <c r="F8" s="51" t="s">
        <v>21</v>
      </c>
      <c r="G8" s="52"/>
      <c r="H8" s="52"/>
      <c r="I8" s="52"/>
      <c r="J8" s="52"/>
      <c r="K8" s="52"/>
      <c r="L8" s="53"/>
    </row>
    <row r="9" spans="1:12" x14ac:dyDescent="0.25">
      <c r="A9" s="2">
        <v>1000000</v>
      </c>
      <c r="B9" s="2">
        <v>600000</v>
      </c>
      <c r="C9" s="65">
        <v>200000</v>
      </c>
      <c r="D9" s="65"/>
    </row>
    <row r="10" spans="1:12" x14ac:dyDescent="0.25">
      <c r="A10" s="66" t="s">
        <v>14</v>
      </c>
      <c r="B10" s="66"/>
      <c r="C10" s="66"/>
      <c r="D10" s="66"/>
    </row>
    <row r="11" spans="1:12" x14ac:dyDescent="0.25">
      <c r="A11" s="55">
        <v>1800000</v>
      </c>
      <c r="B11" s="55"/>
      <c r="C11" s="55"/>
      <c r="D11" s="55"/>
    </row>
    <row r="12" spans="1:12" x14ac:dyDescent="0.25">
      <c r="A12" s="67" t="s">
        <v>15</v>
      </c>
      <c r="B12" s="68"/>
      <c r="C12" s="68"/>
      <c r="D12" s="69"/>
    </row>
    <row r="13" spans="1:12" x14ac:dyDescent="0.25">
      <c r="A13" s="49" t="s">
        <v>38</v>
      </c>
      <c r="B13" s="70"/>
      <c r="C13" s="70"/>
      <c r="D13" s="50"/>
    </row>
    <row r="14" spans="1:12" x14ac:dyDescent="0.25">
      <c r="A14" s="71">
        <v>10369</v>
      </c>
      <c r="B14" s="72"/>
      <c r="C14" s="72"/>
      <c r="D14" s="73"/>
    </row>
    <row r="16" spans="1:12" x14ac:dyDescent="0.25">
      <c r="A16" s="4" t="s">
        <v>0</v>
      </c>
      <c r="B16" s="4" t="s">
        <v>18</v>
      </c>
      <c r="C16" s="4" t="s">
        <v>19</v>
      </c>
      <c r="D16" s="4" t="s">
        <v>20</v>
      </c>
      <c r="E16" s="4" t="s">
        <v>1</v>
      </c>
      <c r="F16" s="4" t="s">
        <v>15</v>
      </c>
      <c r="G16" s="4" t="s">
        <v>22</v>
      </c>
      <c r="H16" s="4" t="s">
        <v>2</v>
      </c>
      <c r="I16" s="4" t="s">
        <v>3</v>
      </c>
    </row>
    <row r="17" spans="1:9" x14ac:dyDescent="0.25">
      <c r="A17" s="1">
        <v>1</v>
      </c>
      <c r="B17" s="1">
        <v>2446</v>
      </c>
      <c r="C17" s="1">
        <v>2440</v>
      </c>
      <c r="D17" s="1">
        <f>B17-C17</f>
        <v>6</v>
      </c>
      <c r="E17" s="1">
        <v>3</v>
      </c>
      <c r="F17" s="3">
        <f>B17*$A$14</f>
        <v>25362574</v>
      </c>
      <c r="G17" s="3"/>
      <c r="H17" s="3">
        <f>A11</f>
        <v>1800000</v>
      </c>
      <c r="I17" s="3">
        <f>SUM(F17:H17)</f>
        <v>27162574</v>
      </c>
    </row>
    <row r="18" spans="1:9" x14ac:dyDescent="0.25">
      <c r="A18" s="1">
        <v>2</v>
      </c>
      <c r="B18" s="1">
        <v>2770</v>
      </c>
      <c r="C18" s="1">
        <v>2775</v>
      </c>
      <c r="D18" s="1">
        <f>D17+B18-C18</f>
        <v>1</v>
      </c>
      <c r="E18" s="1">
        <v>4</v>
      </c>
      <c r="F18" s="3">
        <f>B18*$A$14</f>
        <v>28722130</v>
      </c>
      <c r="G18" s="3">
        <f>E18*$A$6</f>
        <v>24060000</v>
      </c>
      <c r="H18" s="3">
        <f>$A$11</f>
        <v>1800000</v>
      </c>
      <c r="I18" s="3">
        <f>SUM(F18:H18)</f>
        <v>54582130</v>
      </c>
    </row>
    <row r="19" spans="1:9" x14ac:dyDescent="0.25">
      <c r="A19" s="1">
        <v>3</v>
      </c>
      <c r="B19" s="1">
        <v>3041</v>
      </c>
      <c r="C19" s="1">
        <v>2980</v>
      </c>
      <c r="D19" s="1">
        <f t="shared" ref="D19:D24" si="0">D18+B19-C19</f>
        <v>62</v>
      </c>
      <c r="E19" s="1">
        <v>3</v>
      </c>
      <c r="F19" s="3">
        <f t="shared" ref="F19:F40" si="1">B19*$A$14</f>
        <v>31532129</v>
      </c>
      <c r="G19" s="3">
        <f t="shared" ref="G19:G40" si="2">E19*$A$6</f>
        <v>18045000</v>
      </c>
      <c r="H19" s="3">
        <f>$A$11</f>
        <v>1800000</v>
      </c>
      <c r="I19" s="3">
        <f>SUM(F19:H19)</f>
        <v>51377129</v>
      </c>
    </row>
    <row r="20" spans="1:9" x14ac:dyDescent="0.25">
      <c r="A20" s="1">
        <v>4</v>
      </c>
      <c r="B20" s="1">
        <v>2929</v>
      </c>
      <c r="C20" s="1">
        <v>2870</v>
      </c>
      <c r="D20" s="1">
        <f t="shared" si="0"/>
        <v>121</v>
      </c>
      <c r="E20" s="1">
        <v>3</v>
      </c>
      <c r="F20" s="3">
        <f t="shared" si="1"/>
        <v>30370801</v>
      </c>
      <c r="G20" s="3">
        <f t="shared" si="2"/>
        <v>18045000</v>
      </c>
      <c r="H20" s="3">
        <f t="shared" ref="H20:H40" si="3">$A$11</f>
        <v>1800000</v>
      </c>
      <c r="I20" s="3">
        <f t="shared" ref="I20:I40" si="4">SUM(F20:H20)</f>
        <v>50215801</v>
      </c>
    </row>
    <row r="21" spans="1:9" x14ac:dyDescent="0.25">
      <c r="A21" s="1">
        <v>5</v>
      </c>
      <c r="B21" s="1">
        <v>2614</v>
      </c>
      <c r="C21" s="1">
        <v>2725</v>
      </c>
      <c r="D21" s="1">
        <f t="shared" si="0"/>
        <v>10</v>
      </c>
      <c r="E21" s="1">
        <v>3</v>
      </c>
      <c r="F21" s="3">
        <f t="shared" si="1"/>
        <v>27104566</v>
      </c>
      <c r="G21" s="3">
        <f t="shared" si="2"/>
        <v>18045000</v>
      </c>
      <c r="H21" s="3">
        <f t="shared" si="3"/>
        <v>1800000</v>
      </c>
      <c r="I21" s="3">
        <f t="shared" si="4"/>
        <v>46949566</v>
      </c>
    </row>
    <row r="22" spans="1:9" x14ac:dyDescent="0.25">
      <c r="A22" s="1">
        <v>6</v>
      </c>
      <c r="B22" s="1">
        <v>2552</v>
      </c>
      <c r="C22" s="1">
        <v>2540</v>
      </c>
      <c r="D22" s="1">
        <f t="shared" si="0"/>
        <v>22</v>
      </c>
      <c r="E22" s="1">
        <v>4</v>
      </c>
      <c r="F22" s="3">
        <f t="shared" si="1"/>
        <v>26461688</v>
      </c>
      <c r="G22" s="3">
        <f t="shared" si="2"/>
        <v>24060000</v>
      </c>
      <c r="H22" s="3">
        <f t="shared" si="3"/>
        <v>1800000</v>
      </c>
      <c r="I22" s="3">
        <f t="shared" si="4"/>
        <v>52321688</v>
      </c>
    </row>
    <row r="23" spans="1:9" x14ac:dyDescent="0.25">
      <c r="A23" s="1">
        <v>7</v>
      </c>
      <c r="B23" s="1">
        <v>2767</v>
      </c>
      <c r="C23" s="1">
        <v>2654</v>
      </c>
      <c r="D23" s="1">
        <f t="shared" si="0"/>
        <v>135</v>
      </c>
      <c r="E23" s="1">
        <v>4</v>
      </c>
      <c r="F23" s="3">
        <f t="shared" si="1"/>
        <v>28691023</v>
      </c>
      <c r="G23" s="3">
        <f t="shared" si="2"/>
        <v>24060000</v>
      </c>
      <c r="H23" s="3">
        <f t="shared" si="3"/>
        <v>1800000</v>
      </c>
      <c r="I23" s="3">
        <f t="shared" si="4"/>
        <v>54551023</v>
      </c>
    </row>
    <row r="24" spans="1:9" x14ac:dyDescent="0.25">
      <c r="A24" s="1">
        <v>8</v>
      </c>
      <c r="B24" s="1">
        <v>2081</v>
      </c>
      <c r="C24" s="1">
        <v>2215</v>
      </c>
      <c r="D24" s="1">
        <f t="shared" si="0"/>
        <v>1</v>
      </c>
      <c r="E24" s="1">
        <v>3</v>
      </c>
      <c r="F24" s="3">
        <f t="shared" si="1"/>
        <v>21577889</v>
      </c>
      <c r="G24" s="3">
        <f t="shared" si="2"/>
        <v>18045000</v>
      </c>
      <c r="H24" s="3">
        <f t="shared" si="3"/>
        <v>1800000</v>
      </c>
      <c r="I24" s="3">
        <f t="shared" si="4"/>
        <v>41422889</v>
      </c>
    </row>
    <row r="25" spans="1:9" x14ac:dyDescent="0.25">
      <c r="A25" s="1">
        <v>9</v>
      </c>
      <c r="B25" s="1">
        <v>2225</v>
      </c>
      <c r="C25" s="1">
        <v>2200</v>
      </c>
      <c r="D25" s="1">
        <f t="shared" ref="D25:D40" si="5">D24+B25-C25</f>
        <v>26</v>
      </c>
      <c r="E25" s="1">
        <v>3</v>
      </c>
      <c r="F25" s="3">
        <f t="shared" si="1"/>
        <v>23071025</v>
      </c>
      <c r="G25" s="3">
        <f t="shared" si="2"/>
        <v>18045000</v>
      </c>
      <c r="H25" s="3">
        <f t="shared" si="3"/>
        <v>1800000</v>
      </c>
      <c r="I25" s="3">
        <f t="shared" si="4"/>
        <v>42916025</v>
      </c>
    </row>
    <row r="26" spans="1:9" x14ac:dyDescent="0.25">
      <c r="A26" s="1">
        <v>10</v>
      </c>
      <c r="B26" s="1">
        <v>2646</v>
      </c>
      <c r="C26" s="1">
        <v>2590</v>
      </c>
      <c r="D26" s="1">
        <f t="shared" si="5"/>
        <v>82</v>
      </c>
      <c r="E26" s="1">
        <v>4</v>
      </c>
      <c r="F26" s="3">
        <f t="shared" si="1"/>
        <v>27436374</v>
      </c>
      <c r="G26" s="3">
        <f t="shared" si="2"/>
        <v>24060000</v>
      </c>
      <c r="H26" s="3">
        <f t="shared" si="3"/>
        <v>1800000</v>
      </c>
      <c r="I26" s="3">
        <f t="shared" si="4"/>
        <v>53296374</v>
      </c>
    </row>
    <row r="27" spans="1:9" x14ac:dyDescent="0.25">
      <c r="A27" s="1">
        <v>11</v>
      </c>
      <c r="B27" s="1">
        <v>3406</v>
      </c>
      <c r="C27" s="1">
        <v>3386</v>
      </c>
      <c r="D27" s="1">
        <f t="shared" si="5"/>
        <v>102</v>
      </c>
      <c r="E27" s="1">
        <v>3</v>
      </c>
      <c r="F27" s="3">
        <f t="shared" si="1"/>
        <v>35316814</v>
      </c>
      <c r="G27" s="3">
        <f t="shared" si="2"/>
        <v>18045000</v>
      </c>
      <c r="H27" s="3">
        <f t="shared" si="3"/>
        <v>1800000</v>
      </c>
      <c r="I27" s="3">
        <f t="shared" si="4"/>
        <v>55161814</v>
      </c>
    </row>
    <row r="28" spans="1:9" x14ac:dyDescent="0.25">
      <c r="A28" s="1">
        <v>12</v>
      </c>
      <c r="B28" s="1">
        <v>3242</v>
      </c>
      <c r="C28" s="1">
        <v>3278</v>
      </c>
      <c r="D28" s="1">
        <f t="shared" si="5"/>
        <v>66</v>
      </c>
      <c r="E28" s="1">
        <v>4</v>
      </c>
      <c r="F28" s="3">
        <f t="shared" si="1"/>
        <v>33616298</v>
      </c>
      <c r="G28" s="3">
        <f t="shared" si="2"/>
        <v>24060000</v>
      </c>
      <c r="H28" s="3">
        <f t="shared" si="3"/>
        <v>1800000</v>
      </c>
      <c r="I28" s="3">
        <f t="shared" si="4"/>
        <v>59476298</v>
      </c>
    </row>
    <row r="29" spans="1:9" x14ac:dyDescent="0.25">
      <c r="A29" s="1">
        <v>13</v>
      </c>
      <c r="B29" s="1">
        <v>3931</v>
      </c>
      <c r="C29" s="1">
        <v>3894</v>
      </c>
      <c r="D29" s="1">
        <f t="shared" si="5"/>
        <v>103</v>
      </c>
      <c r="E29" s="1">
        <v>4</v>
      </c>
      <c r="F29" s="3">
        <f t="shared" si="1"/>
        <v>40760539</v>
      </c>
      <c r="G29" s="3">
        <f t="shared" si="2"/>
        <v>24060000</v>
      </c>
      <c r="H29" s="3">
        <f t="shared" si="3"/>
        <v>1800000</v>
      </c>
      <c r="I29" s="3">
        <f t="shared" si="4"/>
        <v>66620539</v>
      </c>
    </row>
    <row r="30" spans="1:9" x14ac:dyDescent="0.25">
      <c r="A30" s="1">
        <v>14</v>
      </c>
      <c r="B30" s="1">
        <v>2736</v>
      </c>
      <c r="C30" s="1">
        <v>2754</v>
      </c>
      <c r="D30" s="1">
        <f t="shared" si="5"/>
        <v>85</v>
      </c>
      <c r="E30" s="1">
        <v>4</v>
      </c>
      <c r="F30" s="3">
        <f t="shared" si="1"/>
        <v>28369584</v>
      </c>
      <c r="G30" s="3">
        <f t="shared" si="2"/>
        <v>24060000</v>
      </c>
      <c r="H30" s="3">
        <f t="shared" si="3"/>
        <v>1800000</v>
      </c>
      <c r="I30" s="3">
        <f t="shared" si="4"/>
        <v>54229584</v>
      </c>
    </row>
    <row r="31" spans="1:9" x14ac:dyDescent="0.25">
      <c r="A31" s="1">
        <v>15</v>
      </c>
      <c r="B31" s="1">
        <v>3880</v>
      </c>
      <c r="C31" s="1">
        <v>3945</v>
      </c>
      <c r="D31" s="1">
        <f t="shared" si="5"/>
        <v>20</v>
      </c>
      <c r="E31" s="1">
        <v>3</v>
      </c>
      <c r="F31" s="3">
        <f t="shared" si="1"/>
        <v>40231720</v>
      </c>
      <c r="G31" s="3">
        <f t="shared" si="2"/>
        <v>18045000</v>
      </c>
      <c r="H31" s="3">
        <f t="shared" si="3"/>
        <v>1800000</v>
      </c>
      <c r="I31" s="3">
        <f t="shared" si="4"/>
        <v>60076720</v>
      </c>
    </row>
    <row r="32" spans="1:9" x14ac:dyDescent="0.25">
      <c r="A32" s="1">
        <v>16</v>
      </c>
      <c r="B32" s="1">
        <v>3407</v>
      </c>
      <c r="C32" s="1">
        <v>3405</v>
      </c>
      <c r="D32" s="1">
        <f t="shared" si="5"/>
        <v>22</v>
      </c>
      <c r="E32" s="1">
        <v>3</v>
      </c>
      <c r="F32" s="3">
        <f t="shared" si="1"/>
        <v>35327183</v>
      </c>
      <c r="G32" s="3">
        <f t="shared" si="2"/>
        <v>18045000</v>
      </c>
      <c r="H32" s="3">
        <f t="shared" si="3"/>
        <v>1800000</v>
      </c>
      <c r="I32" s="3">
        <f t="shared" si="4"/>
        <v>55172183</v>
      </c>
    </row>
    <row r="33" spans="1:10" x14ac:dyDescent="0.25">
      <c r="A33" s="1">
        <v>17</v>
      </c>
      <c r="B33" s="1">
        <v>3161</v>
      </c>
      <c r="C33" s="1">
        <v>3174</v>
      </c>
      <c r="D33" s="1">
        <f t="shared" si="5"/>
        <v>9</v>
      </c>
      <c r="E33" s="1">
        <v>3</v>
      </c>
      <c r="F33" s="3">
        <f t="shared" si="1"/>
        <v>32776409</v>
      </c>
      <c r="G33" s="3">
        <f t="shared" si="2"/>
        <v>18045000</v>
      </c>
      <c r="H33" s="3">
        <f t="shared" si="3"/>
        <v>1800000</v>
      </c>
      <c r="I33" s="3">
        <f t="shared" si="4"/>
        <v>52621409</v>
      </c>
    </row>
    <row r="34" spans="1:10" x14ac:dyDescent="0.25">
      <c r="A34" s="1">
        <v>18</v>
      </c>
      <c r="B34" s="1">
        <v>2925</v>
      </c>
      <c r="C34" s="1">
        <v>2841</v>
      </c>
      <c r="D34" s="1">
        <f t="shared" si="5"/>
        <v>93</v>
      </c>
      <c r="E34" s="1">
        <v>4</v>
      </c>
      <c r="F34" s="3">
        <f t="shared" si="1"/>
        <v>30329325</v>
      </c>
      <c r="G34" s="3">
        <f t="shared" si="2"/>
        <v>24060000</v>
      </c>
      <c r="H34" s="3">
        <f t="shared" si="3"/>
        <v>1800000</v>
      </c>
      <c r="I34" s="3">
        <f t="shared" si="4"/>
        <v>56189325</v>
      </c>
    </row>
    <row r="35" spans="1:10" x14ac:dyDescent="0.25">
      <c r="A35" s="1">
        <v>19</v>
      </c>
      <c r="B35" s="1">
        <v>3946</v>
      </c>
      <c r="C35" s="1">
        <v>3925</v>
      </c>
      <c r="D35" s="1">
        <f t="shared" si="5"/>
        <v>114</v>
      </c>
      <c r="E35" s="1">
        <v>3</v>
      </c>
      <c r="F35" s="3">
        <f t="shared" si="1"/>
        <v>40916074</v>
      </c>
      <c r="G35" s="3">
        <f t="shared" si="2"/>
        <v>18045000</v>
      </c>
      <c r="H35" s="3">
        <f t="shared" si="3"/>
        <v>1800000</v>
      </c>
      <c r="I35" s="3">
        <f t="shared" si="4"/>
        <v>60761074</v>
      </c>
    </row>
    <row r="36" spans="1:10" x14ac:dyDescent="0.25">
      <c r="A36" s="1">
        <v>20</v>
      </c>
      <c r="B36" s="1">
        <v>3965</v>
      </c>
      <c r="C36" s="1">
        <v>4015</v>
      </c>
      <c r="D36" s="1">
        <f t="shared" si="5"/>
        <v>64</v>
      </c>
      <c r="E36" s="1">
        <v>3</v>
      </c>
      <c r="F36" s="3">
        <f t="shared" si="1"/>
        <v>41113085</v>
      </c>
      <c r="G36" s="3">
        <f t="shared" si="2"/>
        <v>18045000</v>
      </c>
      <c r="H36" s="3">
        <f t="shared" si="3"/>
        <v>1800000</v>
      </c>
      <c r="I36" s="3">
        <f>SUM(F36:H36)</f>
        <v>60958085</v>
      </c>
    </row>
    <row r="37" spans="1:10" x14ac:dyDescent="0.25">
      <c r="A37" s="1">
        <v>21</v>
      </c>
      <c r="B37" s="1">
        <v>4395</v>
      </c>
      <c r="C37" s="1">
        <v>4428</v>
      </c>
      <c r="D37" s="1">
        <f t="shared" si="5"/>
        <v>31</v>
      </c>
      <c r="E37" s="1">
        <v>4</v>
      </c>
      <c r="F37" s="3">
        <f t="shared" si="1"/>
        <v>45571755</v>
      </c>
      <c r="G37" s="3">
        <f t="shared" si="2"/>
        <v>24060000</v>
      </c>
      <c r="H37" s="3">
        <f t="shared" si="3"/>
        <v>1800000</v>
      </c>
      <c r="I37" s="3">
        <f t="shared" si="4"/>
        <v>71431755</v>
      </c>
    </row>
    <row r="38" spans="1:10" x14ac:dyDescent="0.25">
      <c r="A38" s="1">
        <v>22</v>
      </c>
      <c r="B38" s="1">
        <v>4324</v>
      </c>
      <c r="C38" s="1">
        <v>4325</v>
      </c>
      <c r="D38" s="1">
        <f t="shared" si="5"/>
        <v>30</v>
      </c>
      <c r="E38" s="1">
        <v>4</v>
      </c>
      <c r="F38" s="3">
        <f t="shared" si="1"/>
        <v>44835556</v>
      </c>
      <c r="G38" s="3">
        <f t="shared" si="2"/>
        <v>24060000</v>
      </c>
      <c r="H38" s="3">
        <f t="shared" si="3"/>
        <v>1800000</v>
      </c>
      <c r="I38" s="3">
        <f t="shared" si="4"/>
        <v>70695556</v>
      </c>
    </row>
    <row r="39" spans="1:10" x14ac:dyDescent="0.25">
      <c r="A39" s="1">
        <v>23</v>
      </c>
      <c r="B39" s="1">
        <v>4159</v>
      </c>
      <c r="C39" s="1">
        <v>4019</v>
      </c>
      <c r="D39" s="1">
        <f t="shared" si="5"/>
        <v>170</v>
      </c>
      <c r="E39" s="1">
        <v>3</v>
      </c>
      <c r="F39" s="3">
        <f t="shared" si="1"/>
        <v>43124671</v>
      </c>
      <c r="G39" s="3">
        <f t="shared" si="2"/>
        <v>18045000</v>
      </c>
      <c r="H39" s="3">
        <f t="shared" si="3"/>
        <v>1800000</v>
      </c>
      <c r="I39" s="3">
        <f t="shared" si="4"/>
        <v>62969671</v>
      </c>
    </row>
    <row r="40" spans="1:10" x14ac:dyDescent="0.25">
      <c r="A40" s="1">
        <v>24</v>
      </c>
      <c r="B40" s="1">
        <v>4239</v>
      </c>
      <c r="C40" s="1">
        <v>4320</v>
      </c>
      <c r="D40" s="1">
        <f t="shared" si="5"/>
        <v>89</v>
      </c>
      <c r="E40" s="1">
        <v>4</v>
      </c>
      <c r="F40" s="3">
        <f t="shared" si="1"/>
        <v>43954191</v>
      </c>
      <c r="G40" s="3">
        <f t="shared" si="2"/>
        <v>24060000</v>
      </c>
      <c r="H40" s="3">
        <f t="shared" si="3"/>
        <v>1800000</v>
      </c>
      <c r="I40" s="3">
        <f t="shared" si="4"/>
        <v>69814191</v>
      </c>
    </row>
    <row r="41" spans="1:10" x14ac:dyDescent="0.25">
      <c r="A41" s="4" t="s">
        <v>14</v>
      </c>
      <c r="B41" s="4">
        <f t="shared" ref="B41:I41" si="6">SUM(B17:B40)</f>
        <v>77787</v>
      </c>
      <c r="C41" s="4">
        <f t="shared" si="6"/>
        <v>77698</v>
      </c>
      <c r="D41" s="4">
        <f t="shared" si="6"/>
        <v>1464</v>
      </c>
      <c r="E41" s="4">
        <f t="shared" si="6"/>
        <v>83</v>
      </c>
      <c r="F41" s="8">
        <f t="shared" si="6"/>
        <v>806573403</v>
      </c>
      <c r="G41" s="8">
        <f t="shared" si="6"/>
        <v>481200000</v>
      </c>
      <c r="H41" s="8">
        <f t="shared" si="6"/>
        <v>43200000</v>
      </c>
      <c r="I41" s="8">
        <f t="shared" si="6"/>
        <v>1330973403</v>
      </c>
      <c r="J41" s="7">
        <f>I41/2</f>
        <v>665486701.5</v>
      </c>
    </row>
    <row r="43" spans="1:10" x14ac:dyDescent="0.25">
      <c r="A43" s="74" t="s">
        <v>23</v>
      </c>
      <c r="B43" s="75"/>
      <c r="D43" t="s">
        <v>41</v>
      </c>
    </row>
    <row r="44" spans="1:10" x14ac:dyDescent="0.25">
      <c r="A44" s="62">
        <f>A4+C4</f>
        <v>6015000</v>
      </c>
      <c r="B44" s="63"/>
      <c r="D44" s="10">
        <f>AVERAGE(C17:C40)</f>
        <v>3237.4166666666665</v>
      </c>
      <c r="G44" s="1">
        <v>2440</v>
      </c>
      <c r="H44" s="10">
        <f t="shared" ref="H44:H67" si="7">G44-$D$44</f>
        <v>-797.41666666666652</v>
      </c>
      <c r="I44">
        <v>-797</v>
      </c>
      <c r="J44" s="10">
        <f>H44*I44</f>
        <v>635541.08333333326</v>
      </c>
    </row>
    <row r="45" spans="1:10" x14ac:dyDescent="0.25">
      <c r="A45" s="74" t="s">
        <v>39</v>
      </c>
      <c r="B45" s="75"/>
      <c r="G45" s="1">
        <v>2775</v>
      </c>
      <c r="H45" s="10">
        <f t="shared" si="7"/>
        <v>-462.41666666666652</v>
      </c>
      <c r="I45">
        <v>-462</v>
      </c>
      <c r="J45" s="10">
        <f>H45*I45</f>
        <v>213636.49999999994</v>
      </c>
    </row>
    <row r="46" spans="1:10" x14ac:dyDescent="0.25">
      <c r="A46" s="62">
        <f>H41/C41</f>
        <v>555.99886740971453</v>
      </c>
      <c r="B46" s="63"/>
      <c r="G46" s="1">
        <v>2980</v>
      </c>
      <c r="H46" s="10">
        <f t="shared" si="7"/>
        <v>-257.41666666666652</v>
      </c>
      <c r="I46">
        <v>-257</v>
      </c>
      <c r="J46" s="10">
        <f t="shared" ref="J46:J67" si="8">H46*I46</f>
        <v>66156.083333333299</v>
      </c>
    </row>
    <row r="47" spans="1:10" x14ac:dyDescent="0.25">
      <c r="G47" s="1">
        <v>2870</v>
      </c>
      <c r="H47" s="10">
        <f t="shared" si="7"/>
        <v>-367.41666666666652</v>
      </c>
      <c r="I47">
        <v>-367</v>
      </c>
      <c r="J47" s="10">
        <f t="shared" si="8"/>
        <v>134841.9166666666</v>
      </c>
    </row>
    <row r="48" spans="1:10" x14ac:dyDescent="0.25">
      <c r="A48" t="s">
        <v>25</v>
      </c>
      <c r="G48" s="1">
        <v>2725</v>
      </c>
      <c r="H48" s="10">
        <f t="shared" si="7"/>
        <v>-512.41666666666652</v>
      </c>
      <c r="I48">
        <v>-512</v>
      </c>
      <c r="J48" s="10">
        <f t="shared" si="8"/>
        <v>262357.33333333326</v>
      </c>
    </row>
    <row r="49" spans="1:13" x14ac:dyDescent="0.25">
      <c r="C49" t="s">
        <v>68</v>
      </c>
      <c r="D49">
        <v>77698</v>
      </c>
      <c r="E49">
        <v>2</v>
      </c>
      <c r="F49">
        <f>D49/E49</f>
        <v>38849</v>
      </c>
      <c r="G49" s="1">
        <v>2540</v>
      </c>
      <c r="H49" s="10">
        <f t="shared" si="7"/>
        <v>-697.41666666666652</v>
      </c>
      <c r="I49">
        <v>-697</v>
      </c>
      <c r="J49" s="10">
        <f t="shared" si="8"/>
        <v>486099.41666666657</v>
      </c>
    </row>
    <row r="50" spans="1:13" x14ac:dyDescent="0.25">
      <c r="A50" t="s">
        <v>30</v>
      </c>
      <c r="C50" t="s">
        <v>33</v>
      </c>
      <c r="G50" s="1">
        <v>2654</v>
      </c>
      <c r="H50" s="10">
        <f t="shared" si="7"/>
        <v>-583.41666666666652</v>
      </c>
      <c r="I50">
        <v>-583</v>
      </c>
      <c r="J50" s="10">
        <f t="shared" si="8"/>
        <v>340131.91666666657</v>
      </c>
    </row>
    <row r="51" spans="1:13" x14ac:dyDescent="0.25">
      <c r="C51" t="s">
        <v>40</v>
      </c>
      <c r="F51" s="7">
        <f>E49*F49*A44</f>
        <v>467353470000</v>
      </c>
      <c r="G51" s="1">
        <v>2215</v>
      </c>
      <c r="H51" s="10">
        <f t="shared" si="7"/>
        <v>-1022.4166666666665</v>
      </c>
      <c r="I51">
        <v>-1022</v>
      </c>
      <c r="J51" s="10">
        <f t="shared" si="8"/>
        <v>1044909.8333333331</v>
      </c>
    </row>
    <row r="52" spans="1:13" x14ac:dyDescent="0.25">
      <c r="F52" s="10">
        <f>F51/A46</f>
        <v>840565507.22361112</v>
      </c>
      <c r="G52" s="1">
        <v>2200</v>
      </c>
      <c r="H52" s="10">
        <f t="shared" si="7"/>
        <v>-1037.4166666666665</v>
      </c>
      <c r="I52">
        <v>-1037</v>
      </c>
      <c r="J52" s="10">
        <f t="shared" si="8"/>
        <v>1075801.0833333333</v>
      </c>
      <c r="L52" t="s">
        <v>42</v>
      </c>
      <c r="M52" t="s">
        <v>43</v>
      </c>
    </row>
    <row r="53" spans="1:13" x14ac:dyDescent="0.25">
      <c r="A53" t="s">
        <v>31</v>
      </c>
      <c r="E53" s="7"/>
      <c r="F53" s="10">
        <f>SQRT(F52)</f>
        <v>28992.507777417446</v>
      </c>
      <c r="G53" s="1">
        <v>2590</v>
      </c>
      <c r="H53" s="10">
        <f t="shared" si="7"/>
        <v>-647.41666666666652</v>
      </c>
      <c r="I53">
        <v>-647</v>
      </c>
      <c r="J53" s="10">
        <f t="shared" si="8"/>
        <v>418878.58333333326</v>
      </c>
      <c r="L53" s="10">
        <f>SUM(J44:J67)</f>
        <v>11520049.833333332</v>
      </c>
      <c r="M53">
        <v>24</v>
      </c>
    </row>
    <row r="54" spans="1:13" x14ac:dyDescent="0.25">
      <c r="D54">
        <v>2</v>
      </c>
      <c r="E54" s="7">
        <f>D54*C41*A44</f>
        <v>934706940000</v>
      </c>
      <c r="F54" s="10">
        <f>F49/F53</f>
        <v>1.33996687345066</v>
      </c>
      <c r="G54" s="1">
        <v>3386</v>
      </c>
      <c r="H54" s="10">
        <f t="shared" si="7"/>
        <v>148.58333333333348</v>
      </c>
      <c r="I54">
        <v>149</v>
      </c>
      <c r="J54" s="10">
        <f t="shared" si="8"/>
        <v>22138.91666666669</v>
      </c>
      <c r="L54" s="10">
        <f>L53/M53</f>
        <v>480002.07638888882</v>
      </c>
    </row>
    <row r="55" spans="1:13" x14ac:dyDescent="0.25">
      <c r="E55">
        <f>E54/A46</f>
        <v>1681131014.4472222</v>
      </c>
      <c r="G55" s="1">
        <v>3278</v>
      </c>
      <c r="H55" s="10">
        <f t="shared" si="7"/>
        <v>40.583333333333485</v>
      </c>
      <c r="I55">
        <v>41</v>
      </c>
      <c r="J55" s="10">
        <f t="shared" si="8"/>
        <v>1663.9166666666729</v>
      </c>
      <c r="L55" s="10">
        <f>SQRT(L54)</f>
        <v>692.8218215305352</v>
      </c>
      <c r="M55" t="s">
        <v>44</v>
      </c>
    </row>
    <row r="56" spans="1:13" x14ac:dyDescent="0.25">
      <c r="A56" t="s">
        <v>31</v>
      </c>
      <c r="E56" s="10">
        <f>SQRT(E55)</f>
        <v>41001.597706031193</v>
      </c>
      <c r="G56" s="1">
        <v>3894</v>
      </c>
      <c r="H56" s="10">
        <f t="shared" si="7"/>
        <v>656.58333333333348</v>
      </c>
      <c r="I56">
        <v>657</v>
      </c>
      <c r="J56" s="10">
        <f t="shared" si="8"/>
        <v>431375.25000000012</v>
      </c>
      <c r="M56" t="s">
        <v>45</v>
      </c>
    </row>
    <row r="57" spans="1:13" x14ac:dyDescent="0.25">
      <c r="G57" s="1">
        <v>2754</v>
      </c>
      <c r="H57" s="10">
        <f t="shared" si="7"/>
        <v>-483.41666666666652</v>
      </c>
      <c r="I57">
        <v>-483</v>
      </c>
      <c r="J57" s="10">
        <f t="shared" si="8"/>
        <v>233490.24999999991</v>
      </c>
    </row>
    <row r="58" spans="1:13" x14ac:dyDescent="0.25">
      <c r="A58" t="s">
        <v>31</v>
      </c>
      <c r="G58" s="1">
        <v>3945</v>
      </c>
      <c r="H58" s="10">
        <f t="shared" si="7"/>
        <v>707.58333333333348</v>
      </c>
      <c r="I58">
        <v>708</v>
      </c>
      <c r="J58" s="10">
        <f t="shared" si="8"/>
        <v>500969.00000000012</v>
      </c>
    </row>
    <row r="59" spans="1:13" x14ac:dyDescent="0.25">
      <c r="G59" s="1">
        <v>3405</v>
      </c>
      <c r="H59" s="10">
        <f t="shared" si="7"/>
        <v>167.58333333333348</v>
      </c>
      <c r="I59">
        <v>168</v>
      </c>
      <c r="J59" s="10">
        <f t="shared" si="8"/>
        <v>28154.000000000025</v>
      </c>
    </row>
    <row r="60" spans="1:13" x14ac:dyDescent="0.25">
      <c r="A60" t="s">
        <v>69</v>
      </c>
      <c r="B60" t="s">
        <v>59</v>
      </c>
      <c r="G60" s="1">
        <v>3174</v>
      </c>
      <c r="H60" s="10">
        <f t="shared" si="7"/>
        <v>-63.416666666666515</v>
      </c>
      <c r="I60">
        <v>-63</v>
      </c>
      <c r="J60" s="10">
        <f t="shared" si="8"/>
        <v>3995.2499999999905</v>
      </c>
    </row>
    <row r="61" spans="1:13" x14ac:dyDescent="0.25">
      <c r="A61" t="s">
        <v>26</v>
      </c>
      <c r="G61" s="1">
        <v>2841</v>
      </c>
      <c r="H61" s="10">
        <f t="shared" si="7"/>
        <v>-396.41666666666652</v>
      </c>
      <c r="I61">
        <v>-396</v>
      </c>
      <c r="J61" s="10">
        <f t="shared" si="8"/>
        <v>156980.99999999994</v>
      </c>
    </row>
    <row r="62" spans="1:13" x14ac:dyDescent="0.25">
      <c r="A62" t="s">
        <v>27</v>
      </c>
      <c r="E62" s="9"/>
      <c r="G62" s="1">
        <v>3925</v>
      </c>
      <c r="H62" s="10">
        <f t="shared" si="7"/>
        <v>687.58333333333348</v>
      </c>
      <c r="I62">
        <v>688</v>
      </c>
      <c r="J62" s="10">
        <f t="shared" si="8"/>
        <v>473057.33333333343</v>
      </c>
    </row>
    <row r="63" spans="1:13" x14ac:dyDescent="0.25">
      <c r="G63" s="1">
        <v>4015</v>
      </c>
      <c r="H63" s="10">
        <f t="shared" si="7"/>
        <v>777.58333333333348</v>
      </c>
      <c r="I63">
        <v>778</v>
      </c>
      <c r="J63" s="10">
        <f t="shared" si="8"/>
        <v>604959.83333333349</v>
      </c>
    </row>
    <row r="64" spans="1:13" x14ac:dyDescent="0.25">
      <c r="A64" t="s">
        <v>28</v>
      </c>
      <c r="G64" s="1">
        <v>4428</v>
      </c>
      <c r="H64" s="10">
        <f t="shared" si="7"/>
        <v>1190.5833333333335</v>
      </c>
      <c r="I64">
        <v>1191</v>
      </c>
      <c r="J64" s="10">
        <f t="shared" si="8"/>
        <v>1417984.7500000002</v>
      </c>
    </row>
    <row r="65" spans="1:10" x14ac:dyDescent="0.25">
      <c r="G65" s="1">
        <v>4325</v>
      </c>
      <c r="H65" s="10">
        <f t="shared" si="7"/>
        <v>1087.5833333333335</v>
      </c>
      <c r="I65">
        <v>1088</v>
      </c>
      <c r="J65" s="10">
        <f t="shared" si="8"/>
        <v>1183290.6666666667</v>
      </c>
    </row>
    <row r="66" spans="1:10" x14ac:dyDescent="0.25">
      <c r="A66" t="s">
        <v>70</v>
      </c>
      <c r="G66" s="1">
        <v>4019</v>
      </c>
      <c r="H66" s="10">
        <f t="shared" si="7"/>
        <v>781.58333333333348</v>
      </c>
      <c r="I66">
        <v>782</v>
      </c>
      <c r="J66" s="10">
        <f t="shared" si="8"/>
        <v>611198.16666666674</v>
      </c>
    </row>
    <row r="67" spans="1:10" x14ac:dyDescent="0.25">
      <c r="A67" t="s">
        <v>36</v>
      </c>
      <c r="G67" s="1">
        <v>4320</v>
      </c>
      <c r="H67" s="10">
        <f t="shared" si="7"/>
        <v>1082.5833333333335</v>
      </c>
      <c r="I67">
        <v>1083</v>
      </c>
      <c r="J67" s="10">
        <f t="shared" si="8"/>
        <v>1172437.7500000002</v>
      </c>
    </row>
    <row r="68" spans="1:10" x14ac:dyDescent="0.25">
      <c r="A68" t="s">
        <v>37</v>
      </c>
    </row>
    <row r="72" spans="1:10" x14ac:dyDescent="0.25">
      <c r="A72" t="s">
        <v>37</v>
      </c>
    </row>
    <row r="75" spans="1:10" x14ac:dyDescent="0.25">
      <c r="A75" t="s">
        <v>37</v>
      </c>
    </row>
    <row r="77" spans="1:10" x14ac:dyDescent="0.25">
      <c r="A77" t="s">
        <v>46</v>
      </c>
    </row>
    <row r="79" spans="1:10" x14ac:dyDescent="0.25">
      <c r="A79" t="s">
        <v>47</v>
      </c>
      <c r="B79" t="s">
        <v>49</v>
      </c>
      <c r="C79">
        <v>1.65</v>
      </c>
    </row>
    <row r="80" spans="1:10" x14ac:dyDescent="0.25">
      <c r="A80" t="s">
        <v>48</v>
      </c>
      <c r="B80" t="s">
        <v>50</v>
      </c>
      <c r="C80">
        <v>693</v>
      </c>
    </row>
    <row r="81" spans="1:6" x14ac:dyDescent="0.25">
      <c r="A81" s="10">
        <f>C79*C80</f>
        <v>1143.45</v>
      </c>
    </row>
    <row r="82" spans="1:6" x14ac:dyDescent="0.25">
      <c r="A82" t="s">
        <v>51</v>
      </c>
    </row>
    <row r="83" spans="1:6" x14ac:dyDescent="0.25">
      <c r="A83" t="s">
        <v>53</v>
      </c>
    </row>
    <row r="84" spans="1:6" x14ac:dyDescent="0.25">
      <c r="A84" t="s">
        <v>64</v>
      </c>
    </row>
    <row r="85" spans="1:6" x14ac:dyDescent="0.25">
      <c r="A85" t="s">
        <v>64</v>
      </c>
      <c r="E85" t="s">
        <v>63</v>
      </c>
      <c r="F85">
        <v>590</v>
      </c>
    </row>
    <row r="86" spans="1:6" x14ac:dyDescent="0.25">
      <c r="A86" s="10" t="s">
        <v>61</v>
      </c>
      <c r="B86" s="10">
        <f>(F88*F87)+A81</f>
        <v>1670.2161016949153</v>
      </c>
      <c r="C86" t="s">
        <v>54</v>
      </c>
      <c r="E86" t="s">
        <v>62</v>
      </c>
      <c r="F86">
        <v>77698</v>
      </c>
    </row>
    <row r="87" spans="1:6" x14ac:dyDescent="0.25">
      <c r="A87" t="s">
        <v>66</v>
      </c>
      <c r="E87" t="s">
        <v>60</v>
      </c>
      <c r="F87">
        <v>4</v>
      </c>
    </row>
    <row r="88" spans="1:6" x14ac:dyDescent="0.25">
      <c r="A88" s="10" t="s">
        <v>67</v>
      </c>
      <c r="E88" t="s">
        <v>65</v>
      </c>
      <c r="F88" s="10">
        <f>F86/F85</f>
        <v>131.69152542372882</v>
      </c>
    </row>
    <row r="90" spans="1:6" x14ac:dyDescent="0.25">
      <c r="A90" s="10"/>
    </row>
    <row r="91" spans="1:6" x14ac:dyDescent="0.25">
      <c r="A91" s="10"/>
    </row>
    <row r="92" spans="1:6" x14ac:dyDescent="0.25">
      <c r="A92" s="10" t="s">
        <v>55</v>
      </c>
    </row>
    <row r="93" spans="1:6" x14ac:dyDescent="0.25">
      <c r="A93" s="10" t="s">
        <v>56</v>
      </c>
    </row>
    <row r="96" spans="1:6" x14ac:dyDescent="0.25">
      <c r="A96" t="s">
        <v>57</v>
      </c>
    </row>
    <row r="98" spans="1:7" x14ac:dyDescent="0.25">
      <c r="E98" s="9">
        <f>77698/41002</f>
        <v>1.8949807326471879</v>
      </c>
    </row>
    <row r="99" spans="1:7" x14ac:dyDescent="0.25">
      <c r="A99" t="s">
        <v>57</v>
      </c>
      <c r="E99">
        <v>6015000</v>
      </c>
      <c r="F99" s="10">
        <f>E98*E99</f>
        <v>11398309.106872836</v>
      </c>
    </row>
    <row r="100" spans="1:7" x14ac:dyDescent="0.25">
      <c r="G100" s="10">
        <f>F99+G103</f>
        <v>22796865.106872834</v>
      </c>
    </row>
    <row r="101" spans="1:7" x14ac:dyDescent="0.25">
      <c r="E101">
        <v>41002</v>
      </c>
    </row>
    <row r="102" spans="1:7" x14ac:dyDescent="0.25">
      <c r="A102" t="s">
        <v>57</v>
      </c>
      <c r="E102">
        <v>2</v>
      </c>
      <c r="F102">
        <f>E101/E102</f>
        <v>20501</v>
      </c>
      <c r="G102">
        <v>556</v>
      </c>
    </row>
    <row r="103" spans="1:7" x14ac:dyDescent="0.25">
      <c r="G103">
        <f>F102*G102</f>
        <v>11398556</v>
      </c>
    </row>
    <row r="104" spans="1:7" x14ac:dyDescent="0.25">
      <c r="A104" t="s">
        <v>58</v>
      </c>
    </row>
  </sheetData>
  <mergeCells count="24">
    <mergeCell ref="A2:D2"/>
    <mergeCell ref="A4:B4"/>
    <mergeCell ref="C4:D4"/>
    <mergeCell ref="F3:L3"/>
    <mergeCell ref="F4:L4"/>
    <mergeCell ref="A3:B3"/>
    <mergeCell ref="C8:D8"/>
    <mergeCell ref="C9:D9"/>
    <mergeCell ref="A5:D5"/>
    <mergeCell ref="A6:D6"/>
    <mergeCell ref="F8:L8"/>
    <mergeCell ref="F5:L5"/>
    <mergeCell ref="F6:L6"/>
    <mergeCell ref="F7:L7"/>
    <mergeCell ref="A7:D7"/>
    <mergeCell ref="A46:B46"/>
    <mergeCell ref="A44:B44"/>
    <mergeCell ref="A43:B43"/>
    <mergeCell ref="A45:B45"/>
    <mergeCell ref="A10:D10"/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82FF-5652-48D9-89BA-05D1BEA21266}">
  <dimension ref="A1:M122"/>
  <sheetViews>
    <sheetView tabSelected="1" topLeftCell="B91" zoomScale="60" zoomScaleNormal="60" workbookViewId="0">
      <selection activeCell="J115" sqref="J115"/>
    </sheetView>
  </sheetViews>
  <sheetFormatPr defaultRowHeight="15.75" x14ac:dyDescent="0.25"/>
  <cols>
    <col min="1" max="1" width="28" style="11" customWidth="1"/>
    <col min="2" max="2" width="33.28515625" style="11" customWidth="1"/>
    <col min="3" max="3" width="25.7109375" style="11" customWidth="1"/>
    <col min="4" max="4" width="29.85546875" style="11" customWidth="1"/>
    <col min="5" max="5" width="24.5703125" style="11" customWidth="1"/>
    <col min="6" max="6" width="26.5703125" style="11" customWidth="1"/>
    <col min="7" max="7" width="31.28515625" style="11" customWidth="1"/>
    <col min="8" max="9" width="9.140625" style="11"/>
    <col min="10" max="10" width="15.7109375" style="11" bestFit="1" customWidth="1"/>
    <col min="11" max="11" width="21.42578125" style="11" customWidth="1"/>
    <col min="12" max="16384" width="9.140625" style="11"/>
  </cols>
  <sheetData>
    <row r="1" spans="1:7" x14ac:dyDescent="0.25">
      <c r="A1" s="11" t="s">
        <v>96</v>
      </c>
    </row>
    <row r="2" spans="1:7" x14ac:dyDescent="0.25">
      <c r="A2" s="77" t="s">
        <v>73</v>
      </c>
      <c r="B2" s="79" t="s">
        <v>97</v>
      </c>
      <c r="C2" s="80"/>
      <c r="D2" s="79" t="s">
        <v>100</v>
      </c>
      <c r="E2" s="80"/>
      <c r="G2" s="11" t="s">
        <v>99</v>
      </c>
    </row>
    <row r="3" spans="1:7" x14ac:dyDescent="0.25">
      <c r="A3" s="78"/>
      <c r="B3" s="20" t="s">
        <v>54</v>
      </c>
      <c r="C3" s="20" t="s">
        <v>98</v>
      </c>
      <c r="D3" s="20" t="s">
        <v>54</v>
      </c>
      <c r="E3" s="20" t="s">
        <v>98</v>
      </c>
    </row>
    <row r="4" spans="1:7" x14ac:dyDescent="0.25">
      <c r="A4" s="22" t="s">
        <v>74</v>
      </c>
      <c r="B4" s="14">
        <v>2825</v>
      </c>
      <c r="C4" s="23">
        <v>57</v>
      </c>
      <c r="D4" s="12">
        <v>2767</v>
      </c>
      <c r="E4" s="23">
        <v>55</v>
      </c>
      <c r="G4" s="11" t="s">
        <v>101</v>
      </c>
    </row>
    <row r="5" spans="1:7" x14ac:dyDescent="0.25">
      <c r="A5" s="22" t="s">
        <v>75</v>
      </c>
      <c r="B5" s="14">
        <v>2200</v>
      </c>
      <c r="C5" s="23">
        <v>44</v>
      </c>
      <c r="D5" s="12">
        <v>2081</v>
      </c>
      <c r="E5" s="23">
        <v>42</v>
      </c>
      <c r="G5" s="11" t="s">
        <v>102</v>
      </c>
    </row>
    <row r="6" spans="1:7" x14ac:dyDescent="0.25">
      <c r="A6" s="22" t="s">
        <v>76</v>
      </c>
      <c r="B6" s="14">
        <v>2125</v>
      </c>
      <c r="C6" s="23">
        <v>43</v>
      </c>
      <c r="D6" s="12">
        <v>2225</v>
      </c>
      <c r="E6" s="23">
        <v>45</v>
      </c>
      <c r="G6" s="11" t="s">
        <v>103</v>
      </c>
    </row>
    <row r="7" spans="1:7" x14ac:dyDescent="0.25">
      <c r="A7" s="22" t="s">
        <v>77</v>
      </c>
      <c r="B7" s="14">
        <v>2575</v>
      </c>
      <c r="C7" s="23">
        <v>52</v>
      </c>
      <c r="D7" s="12">
        <v>2646</v>
      </c>
      <c r="E7" s="23">
        <v>53</v>
      </c>
      <c r="G7" s="11" t="s">
        <v>104</v>
      </c>
    </row>
    <row r="8" spans="1:7" x14ac:dyDescent="0.25">
      <c r="A8" s="22" t="s">
        <v>78</v>
      </c>
      <c r="B8" s="14">
        <v>3450</v>
      </c>
      <c r="C8" s="23">
        <v>69</v>
      </c>
      <c r="D8" s="12">
        <v>3406</v>
      </c>
      <c r="E8" s="23">
        <v>68</v>
      </c>
    </row>
    <row r="9" spans="1:7" x14ac:dyDescent="0.25">
      <c r="A9" s="22" t="s">
        <v>79</v>
      </c>
      <c r="B9" s="14">
        <v>3345</v>
      </c>
      <c r="C9" s="23">
        <v>67</v>
      </c>
      <c r="D9" s="12">
        <v>3242</v>
      </c>
      <c r="E9" s="23">
        <v>65</v>
      </c>
    </row>
    <row r="10" spans="1:7" x14ac:dyDescent="0.25">
      <c r="A10" s="22" t="s">
        <v>80</v>
      </c>
      <c r="B10" s="14">
        <v>3854</v>
      </c>
      <c r="C10" s="23">
        <v>77</v>
      </c>
      <c r="D10" s="12">
        <v>3931</v>
      </c>
      <c r="E10" s="23">
        <v>79</v>
      </c>
    </row>
    <row r="11" spans="1:7" x14ac:dyDescent="0.25">
      <c r="A11" s="22" t="s">
        <v>81</v>
      </c>
      <c r="B11" s="14">
        <v>2825</v>
      </c>
      <c r="C11" s="14">
        <v>57</v>
      </c>
      <c r="D11" s="12">
        <v>2736</v>
      </c>
      <c r="E11" s="23">
        <v>55</v>
      </c>
    </row>
    <row r="12" spans="1:7" x14ac:dyDescent="0.25">
      <c r="A12" s="22" t="s">
        <v>82</v>
      </c>
      <c r="B12" s="14">
        <v>3754</v>
      </c>
      <c r="C12" s="14">
        <v>75</v>
      </c>
      <c r="D12" s="12">
        <v>3880</v>
      </c>
      <c r="E12" s="23">
        <v>78</v>
      </c>
    </row>
    <row r="13" spans="1:7" x14ac:dyDescent="0.25">
      <c r="A13" s="22" t="s">
        <v>83</v>
      </c>
      <c r="B13" s="14">
        <v>3325</v>
      </c>
      <c r="C13" s="14">
        <v>67</v>
      </c>
      <c r="D13" s="12">
        <v>3407</v>
      </c>
      <c r="E13" s="23">
        <v>68</v>
      </c>
    </row>
    <row r="14" spans="1:7" x14ac:dyDescent="0.25">
      <c r="A14" s="22" t="s">
        <v>84</v>
      </c>
      <c r="B14" s="14">
        <v>3565</v>
      </c>
      <c r="C14" s="14">
        <v>71</v>
      </c>
      <c r="D14" s="12">
        <v>3161</v>
      </c>
      <c r="E14" s="23">
        <v>63</v>
      </c>
    </row>
    <row r="15" spans="1:7" x14ac:dyDescent="0.25">
      <c r="A15" s="22" t="s">
        <v>85</v>
      </c>
      <c r="B15" s="14">
        <v>2654</v>
      </c>
      <c r="C15" s="14">
        <v>53</v>
      </c>
      <c r="D15" s="12">
        <v>2925</v>
      </c>
      <c r="E15" s="23">
        <v>59</v>
      </c>
    </row>
    <row r="16" spans="1:7" x14ac:dyDescent="0.25">
      <c r="A16" s="27" t="s">
        <v>14</v>
      </c>
      <c r="B16" s="28">
        <f>SUM(B4:B15)</f>
        <v>36497</v>
      </c>
      <c r="C16" s="28">
        <f t="shared" ref="C16:D16" si="0">SUM(C4:C15)</f>
        <v>732</v>
      </c>
      <c r="D16" s="28">
        <f t="shared" si="0"/>
        <v>36407</v>
      </c>
      <c r="E16" s="28">
        <f>SUM(E4:E15)</f>
        <v>730</v>
      </c>
    </row>
    <row r="18" spans="1:7" x14ac:dyDescent="0.25">
      <c r="A18" s="11" t="s">
        <v>105</v>
      </c>
    </row>
    <row r="19" spans="1:7" x14ac:dyDescent="0.25">
      <c r="A19" s="20" t="s">
        <v>73</v>
      </c>
      <c r="B19" s="25" t="s">
        <v>147</v>
      </c>
      <c r="C19" s="20" t="s">
        <v>7</v>
      </c>
      <c r="D19" s="20" t="s">
        <v>106</v>
      </c>
      <c r="E19" s="26" t="s">
        <v>3</v>
      </c>
    </row>
    <row r="20" spans="1:7" x14ac:dyDescent="0.25">
      <c r="A20" s="22" t="s">
        <v>74</v>
      </c>
      <c r="B20" s="16">
        <v>500000</v>
      </c>
      <c r="C20" s="16">
        <v>6000000</v>
      </c>
      <c r="D20" s="19">
        <v>90000</v>
      </c>
      <c r="E20" s="16">
        <f>SUM(B20:D20)</f>
        <v>6590000</v>
      </c>
    </row>
    <row r="21" spans="1:7" x14ac:dyDescent="0.25">
      <c r="A21" s="22" t="s">
        <v>75</v>
      </c>
      <c r="B21" s="16">
        <v>500000</v>
      </c>
      <c r="C21" s="16">
        <v>6000000</v>
      </c>
      <c r="D21" s="19">
        <v>90000</v>
      </c>
      <c r="E21" s="16">
        <f t="shared" ref="E21:E31" si="1">SUM(B21:D21)</f>
        <v>6590000</v>
      </c>
    </row>
    <row r="22" spans="1:7" x14ac:dyDescent="0.25">
      <c r="A22" s="22" t="s">
        <v>76</v>
      </c>
      <c r="B22" s="16">
        <v>500000</v>
      </c>
      <c r="C22" s="16">
        <v>6000000</v>
      </c>
      <c r="D22" s="19">
        <v>90000</v>
      </c>
      <c r="E22" s="16">
        <f t="shared" si="1"/>
        <v>6590000</v>
      </c>
    </row>
    <row r="23" spans="1:7" x14ac:dyDescent="0.25">
      <c r="A23" s="22" t="s">
        <v>77</v>
      </c>
      <c r="B23" s="16">
        <v>500000</v>
      </c>
      <c r="C23" s="16">
        <v>6000000</v>
      </c>
      <c r="D23" s="19">
        <v>90000</v>
      </c>
      <c r="E23" s="16">
        <f t="shared" si="1"/>
        <v>6590000</v>
      </c>
    </row>
    <row r="24" spans="1:7" x14ac:dyDescent="0.25">
      <c r="A24" s="22" t="s">
        <v>78</v>
      </c>
      <c r="B24" s="16">
        <v>500000</v>
      </c>
      <c r="C24" s="16">
        <v>6000000</v>
      </c>
      <c r="D24" s="19">
        <v>90000</v>
      </c>
      <c r="E24" s="16">
        <f t="shared" si="1"/>
        <v>6590000</v>
      </c>
    </row>
    <row r="25" spans="1:7" x14ac:dyDescent="0.25">
      <c r="A25" s="22" t="s">
        <v>79</v>
      </c>
      <c r="B25" s="16">
        <v>500000</v>
      </c>
      <c r="C25" s="16">
        <v>6000000</v>
      </c>
      <c r="D25" s="19">
        <v>90000</v>
      </c>
      <c r="E25" s="16">
        <f t="shared" si="1"/>
        <v>6590000</v>
      </c>
      <c r="G25" s="11" t="s">
        <v>107</v>
      </c>
    </row>
    <row r="26" spans="1:7" x14ac:dyDescent="0.25">
      <c r="A26" s="22" t="s">
        <v>80</v>
      </c>
      <c r="B26" s="16">
        <v>500000</v>
      </c>
      <c r="C26" s="16">
        <v>6000000</v>
      </c>
      <c r="D26" s="19">
        <v>90000</v>
      </c>
      <c r="E26" s="16">
        <f t="shared" si="1"/>
        <v>6590000</v>
      </c>
    </row>
    <row r="27" spans="1:7" x14ac:dyDescent="0.25">
      <c r="A27" s="22" t="s">
        <v>81</v>
      </c>
      <c r="B27" s="16">
        <v>500000</v>
      </c>
      <c r="C27" s="16">
        <v>6000000</v>
      </c>
      <c r="D27" s="19">
        <v>90000</v>
      </c>
      <c r="E27" s="16">
        <f t="shared" si="1"/>
        <v>6590000</v>
      </c>
    </row>
    <row r="28" spans="1:7" x14ac:dyDescent="0.25">
      <c r="A28" s="22" t="s">
        <v>82</v>
      </c>
      <c r="B28" s="16">
        <v>500000</v>
      </c>
      <c r="C28" s="16">
        <v>6000000</v>
      </c>
      <c r="D28" s="19">
        <v>90000</v>
      </c>
      <c r="E28" s="16">
        <f t="shared" si="1"/>
        <v>6590000</v>
      </c>
    </row>
    <row r="29" spans="1:7" x14ac:dyDescent="0.25">
      <c r="A29" s="22" t="s">
        <v>83</v>
      </c>
      <c r="B29" s="16">
        <v>500000</v>
      </c>
      <c r="C29" s="16">
        <v>6000000</v>
      </c>
      <c r="D29" s="19">
        <v>90000</v>
      </c>
      <c r="E29" s="16">
        <f t="shared" si="1"/>
        <v>6590000</v>
      </c>
    </row>
    <row r="30" spans="1:7" x14ac:dyDescent="0.25">
      <c r="A30" s="22" t="s">
        <v>84</v>
      </c>
      <c r="B30" s="16">
        <v>500000</v>
      </c>
      <c r="C30" s="16">
        <v>6000000</v>
      </c>
      <c r="D30" s="19">
        <v>90000</v>
      </c>
      <c r="E30" s="16">
        <f t="shared" si="1"/>
        <v>6590000</v>
      </c>
    </row>
    <row r="31" spans="1:7" x14ac:dyDescent="0.25">
      <c r="A31" s="22" t="s">
        <v>85</v>
      </c>
      <c r="B31" s="16">
        <v>500000</v>
      </c>
      <c r="C31" s="16">
        <v>6000000</v>
      </c>
      <c r="D31" s="19">
        <v>90000</v>
      </c>
      <c r="E31" s="16">
        <f t="shared" si="1"/>
        <v>6590000</v>
      </c>
    </row>
    <row r="32" spans="1:7" x14ac:dyDescent="0.25">
      <c r="A32" s="27" t="s">
        <v>14</v>
      </c>
      <c r="B32" s="17">
        <f>SUM(B20:B31)</f>
        <v>6000000</v>
      </c>
      <c r="C32" s="17">
        <f t="shared" ref="C32" si="2">SUM(C20:C31)</f>
        <v>72000000</v>
      </c>
      <c r="D32" s="17">
        <f t="shared" ref="D32" si="3">SUM(D20:D31)</f>
        <v>1080000</v>
      </c>
      <c r="E32" s="17">
        <f t="shared" ref="E32" si="4">SUM(E20:E31)</f>
        <v>79080000</v>
      </c>
    </row>
    <row r="34" spans="1:13" x14ac:dyDescent="0.25">
      <c r="A34" s="11" t="s">
        <v>108</v>
      </c>
    </row>
    <row r="35" spans="1:13" x14ac:dyDescent="0.25">
      <c r="A35" s="13" t="s">
        <v>73</v>
      </c>
      <c r="B35" s="13" t="s">
        <v>87</v>
      </c>
      <c r="C35" s="13" t="s">
        <v>88</v>
      </c>
      <c r="D35" s="13" t="s">
        <v>89</v>
      </c>
      <c r="E35" s="13" t="s">
        <v>3</v>
      </c>
    </row>
    <row r="36" spans="1:13" x14ac:dyDescent="0.25">
      <c r="A36" s="15" t="s">
        <v>74</v>
      </c>
      <c r="B36" s="16">
        <v>800000</v>
      </c>
      <c r="C36" s="16">
        <v>1000000</v>
      </c>
      <c r="D36" s="16">
        <v>300000</v>
      </c>
      <c r="E36" s="16">
        <f>SUM(B36:D36)</f>
        <v>2100000</v>
      </c>
    </row>
    <row r="37" spans="1:13" x14ac:dyDescent="0.25">
      <c r="A37" s="15" t="s">
        <v>75</v>
      </c>
      <c r="B37" s="16">
        <v>800000</v>
      </c>
      <c r="C37" s="16">
        <v>1000000</v>
      </c>
      <c r="D37" s="16">
        <v>300000</v>
      </c>
      <c r="E37" s="16">
        <f t="shared" ref="E37:E47" si="5">SUM(B37:D37)</f>
        <v>2100000</v>
      </c>
    </row>
    <row r="38" spans="1:13" x14ac:dyDescent="0.25">
      <c r="A38" s="15" t="s">
        <v>76</v>
      </c>
      <c r="B38" s="16">
        <v>800000</v>
      </c>
      <c r="C38" s="16">
        <v>1000000</v>
      </c>
      <c r="D38" s="16">
        <v>300000</v>
      </c>
      <c r="E38" s="16">
        <f t="shared" si="5"/>
        <v>2100000</v>
      </c>
    </row>
    <row r="39" spans="1:13" x14ac:dyDescent="0.25">
      <c r="A39" s="15" t="s">
        <v>77</v>
      </c>
      <c r="B39" s="16">
        <v>800000</v>
      </c>
      <c r="C39" s="16">
        <v>1000000</v>
      </c>
      <c r="D39" s="16">
        <v>300000</v>
      </c>
      <c r="E39" s="16">
        <f t="shared" si="5"/>
        <v>2100000</v>
      </c>
    </row>
    <row r="40" spans="1:13" x14ac:dyDescent="0.25">
      <c r="A40" s="15" t="s">
        <v>78</v>
      </c>
      <c r="B40" s="16">
        <v>800000</v>
      </c>
      <c r="C40" s="16">
        <v>1000000</v>
      </c>
      <c r="D40" s="16">
        <v>300000</v>
      </c>
      <c r="E40" s="16">
        <f t="shared" si="5"/>
        <v>2100000</v>
      </c>
    </row>
    <row r="41" spans="1:13" x14ac:dyDescent="0.25">
      <c r="A41" s="15" t="s">
        <v>79</v>
      </c>
      <c r="B41" s="16">
        <v>800000</v>
      </c>
      <c r="C41" s="16">
        <v>1000000</v>
      </c>
      <c r="D41" s="16">
        <v>300000</v>
      </c>
      <c r="E41" s="16">
        <f t="shared" si="5"/>
        <v>2100000</v>
      </c>
      <c r="G41" s="11" t="s">
        <v>109</v>
      </c>
    </row>
    <row r="42" spans="1:13" x14ac:dyDescent="0.25">
      <c r="A42" s="15" t="s">
        <v>80</v>
      </c>
      <c r="B42" s="16">
        <v>800000</v>
      </c>
      <c r="C42" s="16">
        <v>1000000</v>
      </c>
      <c r="D42" s="16">
        <v>300000</v>
      </c>
      <c r="E42" s="16">
        <f t="shared" si="5"/>
        <v>2100000</v>
      </c>
      <c r="G42" s="11" t="s">
        <v>111</v>
      </c>
    </row>
    <row r="43" spans="1:13" x14ac:dyDescent="0.25">
      <c r="A43" s="15" t="s">
        <v>81</v>
      </c>
      <c r="B43" s="16">
        <v>800000</v>
      </c>
      <c r="C43" s="16">
        <v>1000000</v>
      </c>
      <c r="D43" s="16">
        <v>300000</v>
      </c>
      <c r="E43" s="16">
        <f t="shared" si="5"/>
        <v>2100000</v>
      </c>
    </row>
    <row r="44" spans="1:13" x14ac:dyDescent="0.25">
      <c r="A44" s="15" t="s">
        <v>82</v>
      </c>
      <c r="B44" s="16">
        <v>800000</v>
      </c>
      <c r="C44" s="16">
        <v>1000000</v>
      </c>
      <c r="D44" s="16">
        <v>300000</v>
      </c>
      <c r="E44" s="16">
        <f t="shared" si="5"/>
        <v>2100000</v>
      </c>
    </row>
    <row r="45" spans="1:13" x14ac:dyDescent="0.25">
      <c r="A45" s="15" t="s">
        <v>83</v>
      </c>
      <c r="B45" s="16">
        <v>800000</v>
      </c>
      <c r="C45" s="16">
        <v>1000000</v>
      </c>
      <c r="D45" s="16">
        <v>300000</v>
      </c>
      <c r="E45" s="16">
        <f t="shared" si="5"/>
        <v>2100000</v>
      </c>
    </row>
    <row r="46" spans="1:13" x14ac:dyDescent="0.25">
      <c r="A46" s="15" t="s">
        <v>84</v>
      </c>
      <c r="B46" s="16">
        <v>800000</v>
      </c>
      <c r="C46" s="16">
        <v>1000000</v>
      </c>
      <c r="D46" s="16">
        <v>300000</v>
      </c>
      <c r="E46" s="16">
        <f t="shared" si="5"/>
        <v>2100000</v>
      </c>
      <c r="I46" s="38"/>
      <c r="J46" s="39"/>
      <c r="K46" s="39"/>
      <c r="L46" s="39"/>
      <c r="M46" s="40"/>
    </row>
    <row r="47" spans="1:13" x14ac:dyDescent="0.25">
      <c r="A47" s="15" t="s">
        <v>85</v>
      </c>
      <c r="B47" s="16">
        <v>800000</v>
      </c>
      <c r="C47" s="16">
        <v>1000000</v>
      </c>
      <c r="D47" s="16">
        <v>300000</v>
      </c>
      <c r="E47" s="16">
        <f t="shared" si="5"/>
        <v>2100000</v>
      </c>
      <c r="I47" s="41"/>
      <c r="M47" s="42"/>
    </row>
    <row r="48" spans="1:13" x14ac:dyDescent="0.25">
      <c r="A48" s="13" t="s">
        <v>86</v>
      </c>
      <c r="B48" s="17">
        <f>SUM(B36:B47)</f>
        <v>9600000</v>
      </c>
      <c r="C48" s="17">
        <f>SUM(C36:C47)</f>
        <v>12000000</v>
      </c>
      <c r="D48" s="17">
        <f>SUM(D36:D47)</f>
        <v>3600000</v>
      </c>
      <c r="E48" s="17">
        <f>SUM(E36:E47)</f>
        <v>25200000</v>
      </c>
      <c r="I48" s="41"/>
      <c r="J48" s="11">
        <f>730/437</f>
        <v>1.6704805491990846</v>
      </c>
      <c r="K48" s="43">
        <f>J48*6050000</f>
        <v>10106407.322654461</v>
      </c>
      <c r="M48" s="42"/>
    </row>
    <row r="49" spans="1:13" x14ac:dyDescent="0.25">
      <c r="I49" s="41"/>
      <c r="J49" s="11">
        <f>437/2</f>
        <v>218.5</v>
      </c>
      <c r="K49" s="11">
        <f>J49*4200</f>
        <v>917700</v>
      </c>
      <c r="M49" s="42"/>
    </row>
    <row r="50" spans="1:13" x14ac:dyDescent="0.25">
      <c r="A50" s="11" t="s">
        <v>110</v>
      </c>
      <c r="I50" s="41"/>
      <c r="K50" s="43">
        <f>K48+K49</f>
        <v>11024107.322654461</v>
      </c>
      <c r="M50" s="42"/>
    </row>
    <row r="51" spans="1:13" x14ac:dyDescent="0.25">
      <c r="A51" s="20" t="s">
        <v>112</v>
      </c>
      <c r="B51" s="20" t="s">
        <v>113</v>
      </c>
      <c r="C51" s="20" t="s">
        <v>114</v>
      </c>
      <c r="D51" s="20" t="s">
        <v>115</v>
      </c>
      <c r="E51" s="20" t="s">
        <v>90</v>
      </c>
      <c r="F51" s="20" t="s">
        <v>116</v>
      </c>
      <c r="I51" s="41"/>
      <c r="M51" s="42"/>
    </row>
    <row r="52" spans="1:13" x14ac:dyDescent="0.25">
      <c r="A52" s="22" t="s">
        <v>92</v>
      </c>
      <c r="B52" s="29">
        <f>E48</f>
        <v>25200000</v>
      </c>
      <c r="C52" s="30">
        <v>0.1</v>
      </c>
      <c r="D52" s="29">
        <f>B52*C52</f>
        <v>2520000</v>
      </c>
      <c r="E52" s="29">
        <f>D52/50</f>
        <v>50400</v>
      </c>
      <c r="F52" s="29">
        <f>E52/12</f>
        <v>4200</v>
      </c>
      <c r="I52" s="44"/>
      <c r="J52" s="45"/>
      <c r="K52" s="45"/>
      <c r="L52" s="45"/>
      <c r="M52" s="46"/>
    </row>
    <row r="54" spans="1:13" x14ac:dyDescent="0.25">
      <c r="A54" s="11" t="s">
        <v>117</v>
      </c>
    </row>
    <row r="55" spans="1:13" x14ac:dyDescent="0.25">
      <c r="A55" s="13" t="s">
        <v>73</v>
      </c>
      <c r="B55" s="13" t="s">
        <v>128</v>
      </c>
      <c r="C55" s="13" t="s">
        <v>130</v>
      </c>
      <c r="D55" s="13" t="s">
        <v>129</v>
      </c>
      <c r="E55" s="13" t="s">
        <v>22</v>
      </c>
      <c r="F55" s="13" t="s">
        <v>2</v>
      </c>
      <c r="G55" s="13" t="s">
        <v>91</v>
      </c>
    </row>
    <row r="56" spans="1:13" x14ac:dyDescent="0.25">
      <c r="A56" s="15" t="s">
        <v>74</v>
      </c>
      <c r="B56" s="23">
        <v>55</v>
      </c>
      <c r="C56" s="23">
        <v>57</v>
      </c>
      <c r="D56" s="14">
        <f>C56-B56</f>
        <v>2</v>
      </c>
      <c r="E56" s="16">
        <v>6590000</v>
      </c>
      <c r="F56" s="16">
        <f>$F$52*D56</f>
        <v>8400</v>
      </c>
      <c r="G56" s="16">
        <f>E56+F56</f>
        <v>6598400</v>
      </c>
    </row>
    <row r="57" spans="1:13" x14ac:dyDescent="0.25">
      <c r="A57" s="15" t="s">
        <v>75</v>
      </c>
      <c r="B57" s="23">
        <v>42</v>
      </c>
      <c r="C57" s="23">
        <v>44</v>
      </c>
      <c r="D57" s="14">
        <f>D56+C57-B57</f>
        <v>4</v>
      </c>
      <c r="E57" s="16">
        <v>6590000</v>
      </c>
      <c r="F57" s="16">
        <f t="shared" ref="F57:F67" si="6">$F$52*D57</f>
        <v>16800</v>
      </c>
      <c r="G57" s="16">
        <f t="shared" ref="G57:G62" si="7">G56+E57+F57</f>
        <v>13205200</v>
      </c>
    </row>
    <row r="58" spans="1:13" x14ac:dyDescent="0.25">
      <c r="A58" s="15" t="s">
        <v>76</v>
      </c>
      <c r="B58" s="23">
        <v>45</v>
      </c>
      <c r="C58" s="23">
        <v>43</v>
      </c>
      <c r="D58" s="14">
        <f>D57+C58-B58</f>
        <v>2</v>
      </c>
      <c r="E58" s="16">
        <v>6590000</v>
      </c>
      <c r="F58" s="16">
        <f t="shared" si="6"/>
        <v>8400</v>
      </c>
      <c r="G58" s="16">
        <f t="shared" si="7"/>
        <v>19803600</v>
      </c>
    </row>
    <row r="59" spans="1:13" x14ac:dyDescent="0.25">
      <c r="A59" s="15" t="s">
        <v>77</v>
      </c>
      <c r="B59" s="23">
        <v>53</v>
      </c>
      <c r="C59" s="23">
        <v>52</v>
      </c>
      <c r="D59" s="14">
        <f>D58+C59-B59</f>
        <v>1</v>
      </c>
      <c r="E59" s="16">
        <v>6590000</v>
      </c>
      <c r="F59" s="16">
        <f t="shared" si="6"/>
        <v>4200</v>
      </c>
      <c r="G59" s="16">
        <f t="shared" si="7"/>
        <v>26397800</v>
      </c>
      <c r="I59" s="11" t="s">
        <v>118</v>
      </c>
    </row>
    <row r="60" spans="1:13" x14ac:dyDescent="0.25">
      <c r="A60" s="15" t="s">
        <v>78</v>
      </c>
      <c r="B60" s="23">
        <v>68</v>
      </c>
      <c r="C60" s="23">
        <v>69</v>
      </c>
      <c r="D60" s="14">
        <f>D59+C60-B60</f>
        <v>2</v>
      </c>
      <c r="E60" s="16">
        <v>6590000</v>
      </c>
      <c r="F60" s="16">
        <f t="shared" si="6"/>
        <v>8400</v>
      </c>
      <c r="G60" s="16">
        <f t="shared" si="7"/>
        <v>32996200</v>
      </c>
      <c r="I60" s="11" t="s">
        <v>119</v>
      </c>
    </row>
    <row r="61" spans="1:13" x14ac:dyDescent="0.25">
      <c r="A61" s="15" t="s">
        <v>79</v>
      </c>
      <c r="B61" s="23">
        <v>65</v>
      </c>
      <c r="C61" s="23">
        <v>67</v>
      </c>
      <c r="D61" s="23">
        <f>D60+C61-B61</f>
        <v>4</v>
      </c>
      <c r="E61" s="16">
        <v>6590000</v>
      </c>
      <c r="F61" s="16">
        <f t="shared" si="6"/>
        <v>16800</v>
      </c>
      <c r="G61" s="16">
        <f t="shared" si="7"/>
        <v>39603000</v>
      </c>
    </row>
    <row r="62" spans="1:13" x14ac:dyDescent="0.25">
      <c r="A62" s="15" t="s">
        <v>80</v>
      </c>
      <c r="B62" s="23">
        <v>79</v>
      </c>
      <c r="C62" s="23">
        <v>77</v>
      </c>
      <c r="D62" s="14">
        <f t="shared" ref="D62:D67" si="8">D61+C62-B62</f>
        <v>2</v>
      </c>
      <c r="E62" s="16">
        <v>6590000</v>
      </c>
      <c r="F62" s="16">
        <f t="shared" si="6"/>
        <v>8400</v>
      </c>
      <c r="G62" s="16">
        <f t="shared" si="7"/>
        <v>46201400</v>
      </c>
      <c r="I62" s="11" t="s">
        <v>93</v>
      </c>
      <c r="J62" s="11">
        <v>730</v>
      </c>
    </row>
    <row r="63" spans="1:13" x14ac:dyDescent="0.25">
      <c r="A63" s="15" t="s">
        <v>81</v>
      </c>
      <c r="B63" s="23">
        <v>55</v>
      </c>
      <c r="C63" s="14">
        <v>57</v>
      </c>
      <c r="D63" s="14">
        <f t="shared" si="8"/>
        <v>4</v>
      </c>
      <c r="E63" s="16">
        <v>6590000</v>
      </c>
      <c r="F63" s="16">
        <f t="shared" si="6"/>
        <v>16800</v>
      </c>
      <c r="G63" s="16">
        <f t="shared" ref="G63:G64" si="9">G62+E63+F63</f>
        <v>52808200</v>
      </c>
      <c r="I63" s="11" t="s">
        <v>120</v>
      </c>
      <c r="J63" s="18">
        <v>6590000</v>
      </c>
      <c r="K63" s="18">
        <f>2*J62*J63</f>
        <v>9621400000</v>
      </c>
    </row>
    <row r="64" spans="1:13" x14ac:dyDescent="0.25">
      <c r="A64" s="15" t="s">
        <v>82</v>
      </c>
      <c r="B64" s="23">
        <v>78</v>
      </c>
      <c r="C64" s="14">
        <v>75</v>
      </c>
      <c r="D64" s="14">
        <f t="shared" si="8"/>
        <v>1</v>
      </c>
      <c r="E64" s="16">
        <v>6590000</v>
      </c>
      <c r="F64" s="16">
        <f t="shared" si="6"/>
        <v>4200</v>
      </c>
      <c r="G64" s="16">
        <f t="shared" si="9"/>
        <v>59402400</v>
      </c>
      <c r="I64" s="11" t="s">
        <v>94</v>
      </c>
      <c r="J64" s="18">
        <v>50400</v>
      </c>
      <c r="K64" s="11">
        <f>K63/J64</f>
        <v>190900.79365079364</v>
      </c>
    </row>
    <row r="65" spans="1:11" x14ac:dyDescent="0.25">
      <c r="A65" s="15" t="s">
        <v>83</v>
      </c>
      <c r="B65" s="23">
        <v>68</v>
      </c>
      <c r="C65" s="14">
        <v>67</v>
      </c>
      <c r="D65" s="14">
        <f t="shared" si="8"/>
        <v>0</v>
      </c>
      <c r="E65" s="16">
        <v>6590000</v>
      </c>
      <c r="F65" s="16">
        <f t="shared" si="6"/>
        <v>0</v>
      </c>
      <c r="G65" s="16">
        <f>G64+E65+F65</f>
        <v>65992400</v>
      </c>
      <c r="K65" s="32">
        <f>SQRT(K64)</f>
        <v>436.92195372948891</v>
      </c>
    </row>
    <row r="66" spans="1:11" x14ac:dyDescent="0.25">
      <c r="A66" s="15" t="s">
        <v>84</v>
      </c>
      <c r="B66" s="23">
        <v>63</v>
      </c>
      <c r="C66" s="14">
        <v>71</v>
      </c>
      <c r="D66" s="14">
        <f t="shared" si="8"/>
        <v>8</v>
      </c>
      <c r="E66" s="16">
        <v>6590000</v>
      </c>
      <c r="F66" s="16">
        <f t="shared" si="6"/>
        <v>33600</v>
      </c>
      <c r="G66" s="16">
        <f>G65+E66+F66</f>
        <v>72616000</v>
      </c>
      <c r="K66" s="31">
        <f>J62/K65</f>
        <v>1.6707789429412929</v>
      </c>
    </row>
    <row r="67" spans="1:11" x14ac:dyDescent="0.25">
      <c r="A67" s="15" t="s">
        <v>85</v>
      </c>
      <c r="B67" s="23">
        <v>59</v>
      </c>
      <c r="C67" s="14">
        <v>53</v>
      </c>
      <c r="D67" s="14">
        <f t="shared" si="8"/>
        <v>2</v>
      </c>
      <c r="E67" s="16">
        <v>6590000</v>
      </c>
      <c r="F67" s="16">
        <f t="shared" si="6"/>
        <v>8400</v>
      </c>
      <c r="G67" s="17">
        <f>G66+E67+F67</f>
        <v>79214400</v>
      </c>
      <c r="I67" s="11" t="s">
        <v>71</v>
      </c>
    </row>
    <row r="68" spans="1:11" x14ac:dyDescent="0.25">
      <c r="A68" s="35"/>
      <c r="B68" s="36"/>
      <c r="C68" s="35"/>
      <c r="D68" s="35"/>
      <c r="E68" s="37">
        <f>SUM(E56:E67)</f>
        <v>79080000</v>
      </c>
      <c r="F68" s="37">
        <f>SUM(F56:F67)</f>
        <v>134400</v>
      </c>
      <c r="G68" s="37"/>
    </row>
    <row r="70" spans="1:11" x14ac:dyDescent="0.25">
      <c r="D70" s="11" t="s">
        <v>125</v>
      </c>
      <c r="F70" s="11" t="s">
        <v>124</v>
      </c>
      <c r="I70" s="11" t="s">
        <v>71</v>
      </c>
    </row>
    <row r="71" spans="1:11" x14ac:dyDescent="0.25">
      <c r="D71" s="11" t="s">
        <v>95</v>
      </c>
      <c r="F71" s="11" t="s">
        <v>27</v>
      </c>
    </row>
    <row r="73" spans="1:11" x14ac:dyDescent="0.25">
      <c r="D73" s="11" t="s">
        <v>95</v>
      </c>
      <c r="F73" s="11" t="s">
        <v>122</v>
      </c>
      <c r="I73" s="11" t="s">
        <v>71</v>
      </c>
    </row>
    <row r="75" spans="1:11" x14ac:dyDescent="0.25">
      <c r="D75" s="11" t="s">
        <v>126</v>
      </c>
      <c r="F75" s="11" t="s">
        <v>123</v>
      </c>
    </row>
    <row r="76" spans="1:11" x14ac:dyDescent="0.25">
      <c r="A76" s="11" t="s">
        <v>131</v>
      </c>
      <c r="I76" s="11" t="s">
        <v>72</v>
      </c>
    </row>
    <row r="77" spans="1:11" x14ac:dyDescent="0.25">
      <c r="A77" s="13" t="s">
        <v>73</v>
      </c>
      <c r="B77" s="13" t="s">
        <v>128</v>
      </c>
      <c r="C77" s="13" t="s">
        <v>127</v>
      </c>
      <c r="D77" s="13" t="s">
        <v>129</v>
      </c>
      <c r="E77" s="13" t="s">
        <v>22</v>
      </c>
      <c r="F77" s="13" t="s">
        <v>2</v>
      </c>
      <c r="G77" s="13" t="s">
        <v>91</v>
      </c>
    </row>
    <row r="78" spans="1:11" x14ac:dyDescent="0.25">
      <c r="A78" s="15" t="s">
        <v>74</v>
      </c>
      <c r="B78" s="23">
        <v>55</v>
      </c>
      <c r="C78" s="23">
        <v>437</v>
      </c>
      <c r="D78" s="23">
        <f>C78-B78</f>
        <v>382</v>
      </c>
      <c r="E78" s="16">
        <v>6590000</v>
      </c>
      <c r="F78" s="16">
        <f>$F$52*D78</f>
        <v>1604400</v>
      </c>
      <c r="G78" s="16">
        <f>E78+F78</f>
        <v>8194400</v>
      </c>
      <c r="I78" s="11" t="s">
        <v>71</v>
      </c>
      <c r="J78" s="11" t="s">
        <v>121</v>
      </c>
    </row>
    <row r="79" spans="1:11" x14ac:dyDescent="0.25">
      <c r="A79" s="15" t="s">
        <v>75</v>
      </c>
      <c r="B79" s="23">
        <v>42</v>
      </c>
      <c r="C79" s="23">
        <v>0</v>
      </c>
      <c r="D79" s="23">
        <f t="shared" ref="D79:D84" si="10">D78-B79</f>
        <v>340</v>
      </c>
      <c r="E79" s="16">
        <v>0</v>
      </c>
      <c r="F79" s="16">
        <f t="shared" ref="F79:F89" si="11">$F$52*D79</f>
        <v>1428000</v>
      </c>
      <c r="G79" s="16">
        <f t="shared" ref="G79:G84" si="12">G78+F79</f>
        <v>9622400</v>
      </c>
    </row>
    <row r="80" spans="1:11" x14ac:dyDescent="0.25">
      <c r="A80" s="15" t="s">
        <v>76</v>
      </c>
      <c r="B80" s="23">
        <v>45</v>
      </c>
      <c r="C80" s="23">
        <v>0</v>
      </c>
      <c r="D80" s="23">
        <f t="shared" si="10"/>
        <v>295</v>
      </c>
      <c r="E80" s="16">
        <v>0</v>
      </c>
      <c r="F80" s="16">
        <f t="shared" si="11"/>
        <v>1239000</v>
      </c>
      <c r="G80" s="16">
        <f t="shared" si="12"/>
        <v>10861400</v>
      </c>
      <c r="J80" s="11">
        <f>437*50</f>
        <v>21850</v>
      </c>
    </row>
    <row r="81" spans="1:7" x14ac:dyDescent="0.25">
      <c r="A81" s="15" t="s">
        <v>77</v>
      </c>
      <c r="B81" s="23">
        <v>53</v>
      </c>
      <c r="C81" s="23">
        <v>0</v>
      </c>
      <c r="D81" s="23">
        <f t="shared" si="10"/>
        <v>242</v>
      </c>
      <c r="E81" s="16">
        <v>0</v>
      </c>
      <c r="F81" s="16">
        <f t="shared" si="11"/>
        <v>1016400</v>
      </c>
      <c r="G81" s="16">
        <f t="shared" si="12"/>
        <v>11877800</v>
      </c>
    </row>
    <row r="82" spans="1:7" x14ac:dyDescent="0.25">
      <c r="A82" s="15" t="s">
        <v>78</v>
      </c>
      <c r="B82" s="23">
        <v>68</v>
      </c>
      <c r="C82" s="23">
        <v>0</v>
      </c>
      <c r="D82" s="23">
        <f t="shared" si="10"/>
        <v>174</v>
      </c>
      <c r="E82" s="16">
        <v>0</v>
      </c>
      <c r="F82" s="16">
        <f t="shared" si="11"/>
        <v>730800</v>
      </c>
      <c r="G82" s="16">
        <f t="shared" si="12"/>
        <v>12608600</v>
      </c>
    </row>
    <row r="83" spans="1:7" x14ac:dyDescent="0.25">
      <c r="A83" s="15" t="s">
        <v>79</v>
      </c>
      <c r="B83" s="23">
        <v>65</v>
      </c>
      <c r="C83" s="23">
        <v>0</v>
      </c>
      <c r="D83" s="23">
        <f t="shared" si="10"/>
        <v>109</v>
      </c>
      <c r="E83" s="16">
        <v>0</v>
      </c>
      <c r="F83" s="16">
        <f t="shared" si="11"/>
        <v>457800</v>
      </c>
      <c r="G83" s="16">
        <f t="shared" si="12"/>
        <v>13066400</v>
      </c>
    </row>
    <row r="84" spans="1:7" x14ac:dyDescent="0.25">
      <c r="A84" s="15" t="s">
        <v>80</v>
      </c>
      <c r="B84" s="23">
        <v>79</v>
      </c>
      <c r="C84" s="23">
        <v>0</v>
      </c>
      <c r="D84" s="23">
        <f t="shared" si="10"/>
        <v>30</v>
      </c>
      <c r="E84" s="16">
        <v>0</v>
      </c>
      <c r="F84" s="16">
        <f t="shared" si="11"/>
        <v>126000</v>
      </c>
      <c r="G84" s="16">
        <f t="shared" si="12"/>
        <v>13192400</v>
      </c>
    </row>
    <row r="85" spans="1:7" x14ac:dyDescent="0.25">
      <c r="A85" s="15" t="s">
        <v>81</v>
      </c>
      <c r="B85" s="23">
        <v>55</v>
      </c>
      <c r="C85" s="14">
        <v>437</v>
      </c>
      <c r="D85" s="23">
        <f>D84+C85-B85</f>
        <v>412</v>
      </c>
      <c r="E85" s="16">
        <v>6590000</v>
      </c>
      <c r="F85" s="16">
        <f t="shared" si="11"/>
        <v>1730400</v>
      </c>
      <c r="G85" s="16">
        <f>G84+E85+F85</f>
        <v>21512800</v>
      </c>
    </row>
    <row r="86" spans="1:7" x14ac:dyDescent="0.25">
      <c r="A86" s="15" t="s">
        <v>82</v>
      </c>
      <c r="B86" s="23">
        <v>78</v>
      </c>
      <c r="C86" s="14">
        <v>0</v>
      </c>
      <c r="D86" s="23">
        <f>D85-B86</f>
        <v>334</v>
      </c>
      <c r="E86" s="16">
        <v>0</v>
      </c>
      <c r="F86" s="16">
        <f t="shared" si="11"/>
        <v>1402800</v>
      </c>
      <c r="G86" s="16">
        <f>G85+F86</f>
        <v>22915600</v>
      </c>
    </row>
    <row r="87" spans="1:7" x14ac:dyDescent="0.25">
      <c r="A87" s="15" t="s">
        <v>83</v>
      </c>
      <c r="B87" s="23">
        <v>68</v>
      </c>
      <c r="C87" s="14">
        <v>0</v>
      </c>
      <c r="D87" s="23">
        <f>D86-B87</f>
        <v>266</v>
      </c>
      <c r="E87" s="16">
        <v>0</v>
      </c>
      <c r="F87" s="16">
        <f t="shared" si="11"/>
        <v>1117200</v>
      </c>
      <c r="G87" s="16">
        <f>G86+F87</f>
        <v>24032800</v>
      </c>
    </row>
    <row r="88" spans="1:7" x14ac:dyDescent="0.25">
      <c r="A88" s="15" t="s">
        <v>84</v>
      </c>
      <c r="B88" s="23">
        <v>63</v>
      </c>
      <c r="C88" s="14">
        <v>0</v>
      </c>
      <c r="D88" s="23">
        <f>D87-B88</f>
        <v>203</v>
      </c>
      <c r="E88" s="16">
        <v>0</v>
      </c>
      <c r="F88" s="16">
        <f t="shared" si="11"/>
        <v>852600</v>
      </c>
      <c r="G88" s="16">
        <f>G87+F88</f>
        <v>24885400</v>
      </c>
    </row>
    <row r="89" spans="1:7" x14ac:dyDescent="0.25">
      <c r="A89" s="15" t="s">
        <v>85</v>
      </c>
      <c r="B89" s="23">
        <v>59</v>
      </c>
      <c r="C89" s="14">
        <v>0</v>
      </c>
      <c r="D89" s="23">
        <f t="shared" ref="D89" si="13">D88-B89</f>
        <v>144</v>
      </c>
      <c r="E89" s="16">
        <v>0</v>
      </c>
      <c r="F89" s="16">
        <f t="shared" si="11"/>
        <v>604800</v>
      </c>
      <c r="G89" s="17">
        <f>G88+F89</f>
        <v>25490200</v>
      </c>
    </row>
    <row r="90" spans="1:7" x14ac:dyDescent="0.25">
      <c r="B90" s="21">
        <f>AVERAGE(B78:B89)</f>
        <v>60.833333333333336</v>
      </c>
      <c r="D90" s="21"/>
      <c r="E90" s="18">
        <f>SUM(E78:E89)</f>
        <v>13180000</v>
      </c>
      <c r="F90" s="18">
        <f>SUM(F78:F89)</f>
        <v>12310200</v>
      </c>
      <c r="G90" s="18"/>
    </row>
    <row r="92" spans="1:7" x14ac:dyDescent="0.25">
      <c r="A92" s="11" t="s">
        <v>132</v>
      </c>
    </row>
    <row r="93" spans="1:7" x14ac:dyDescent="0.25">
      <c r="A93" s="76" t="s">
        <v>133</v>
      </c>
      <c r="B93" s="76"/>
    </row>
    <row r="94" spans="1:7" x14ac:dyDescent="0.25">
      <c r="A94" s="22" t="s">
        <v>22</v>
      </c>
      <c r="B94" s="29">
        <v>79080000</v>
      </c>
    </row>
    <row r="95" spans="1:7" x14ac:dyDescent="0.25">
      <c r="A95" s="22" t="s">
        <v>2</v>
      </c>
      <c r="B95" s="29">
        <v>134400</v>
      </c>
    </row>
    <row r="96" spans="1:7" x14ac:dyDescent="0.25">
      <c r="A96" s="22" t="s">
        <v>91</v>
      </c>
      <c r="B96" s="29">
        <f>B94+B95</f>
        <v>79214400</v>
      </c>
    </row>
    <row r="97" spans="1:8" x14ac:dyDescent="0.25">
      <c r="A97" s="76" t="s">
        <v>134</v>
      </c>
      <c r="B97" s="76"/>
      <c r="C97" s="18">
        <f>B96-B100</f>
        <v>53724200</v>
      </c>
      <c r="D97" s="33">
        <f>((B96-B100)/B96)*100%</f>
        <v>0.67821254721363788</v>
      </c>
      <c r="E97" s="18">
        <f>B96-B100</f>
        <v>53724200</v>
      </c>
      <c r="F97" s="11">
        <f>E97/B96</f>
        <v>0.67821254721363788</v>
      </c>
      <c r="G97" s="47">
        <v>1</v>
      </c>
    </row>
    <row r="98" spans="1:8" x14ac:dyDescent="0.25">
      <c r="A98" s="22" t="s">
        <v>22</v>
      </c>
      <c r="B98" s="29">
        <v>13180000</v>
      </c>
      <c r="G98" s="31">
        <f>F97*G97</f>
        <v>0.67821254721363788</v>
      </c>
    </row>
    <row r="99" spans="1:8" x14ac:dyDescent="0.25">
      <c r="A99" s="22" t="s">
        <v>2</v>
      </c>
      <c r="B99" s="29">
        <v>12310200</v>
      </c>
      <c r="D99" s="11" t="s">
        <v>135</v>
      </c>
    </row>
    <row r="100" spans="1:8" x14ac:dyDescent="0.25">
      <c r="A100" s="22" t="s">
        <v>91</v>
      </c>
      <c r="B100" s="29">
        <f>B98+B99</f>
        <v>25490200</v>
      </c>
      <c r="C100" s="18"/>
    </row>
    <row r="102" spans="1:8" x14ac:dyDescent="0.25">
      <c r="A102" s="11" t="s">
        <v>136</v>
      </c>
      <c r="D102" s="24">
        <v>55</v>
      </c>
      <c r="E102" s="11">
        <v>61</v>
      </c>
      <c r="F102" s="21">
        <f>D102-E102</f>
        <v>-6</v>
      </c>
      <c r="G102" s="21">
        <f>D102-E102</f>
        <v>-6</v>
      </c>
      <c r="H102" s="11">
        <f>F102*G102</f>
        <v>36</v>
      </c>
    </row>
    <row r="103" spans="1:8" x14ac:dyDescent="0.25">
      <c r="A103" s="11" t="s">
        <v>37</v>
      </c>
      <c r="D103" s="24">
        <v>42</v>
      </c>
      <c r="E103" s="11">
        <v>61</v>
      </c>
      <c r="F103" s="21">
        <f t="shared" ref="F103:F113" si="14">D103-E103</f>
        <v>-19</v>
      </c>
      <c r="G103" s="21">
        <f t="shared" ref="G103:G113" si="15">D103-E103</f>
        <v>-19</v>
      </c>
      <c r="H103" s="11">
        <f t="shared" ref="H103:H113" si="16">F103*G103</f>
        <v>361</v>
      </c>
    </row>
    <row r="104" spans="1:8" x14ac:dyDescent="0.25">
      <c r="D104" s="24">
        <v>45</v>
      </c>
      <c r="E104" s="11">
        <v>61</v>
      </c>
      <c r="F104" s="21">
        <f t="shared" si="14"/>
        <v>-16</v>
      </c>
      <c r="G104" s="21">
        <f t="shared" si="15"/>
        <v>-16</v>
      </c>
      <c r="H104" s="11">
        <f t="shared" si="16"/>
        <v>256</v>
      </c>
    </row>
    <row r="105" spans="1:8" x14ac:dyDescent="0.25">
      <c r="D105" s="24">
        <v>53</v>
      </c>
      <c r="E105" s="11">
        <v>61</v>
      </c>
      <c r="F105" s="21">
        <f t="shared" si="14"/>
        <v>-8</v>
      </c>
      <c r="G105" s="21">
        <f t="shared" si="15"/>
        <v>-8</v>
      </c>
      <c r="H105" s="11">
        <f t="shared" si="16"/>
        <v>64</v>
      </c>
    </row>
    <row r="106" spans="1:8" x14ac:dyDescent="0.25">
      <c r="A106" s="11" t="s">
        <v>37</v>
      </c>
      <c r="D106" s="24">
        <v>68</v>
      </c>
      <c r="E106" s="11">
        <v>61</v>
      </c>
      <c r="F106" s="21">
        <f t="shared" si="14"/>
        <v>7</v>
      </c>
      <c r="G106" s="21">
        <f t="shared" si="15"/>
        <v>7</v>
      </c>
      <c r="H106" s="11">
        <f t="shared" si="16"/>
        <v>49</v>
      </c>
    </row>
    <row r="107" spans="1:8" x14ac:dyDescent="0.25">
      <c r="D107" s="24">
        <v>65</v>
      </c>
      <c r="E107" s="11">
        <v>61</v>
      </c>
      <c r="F107" s="21">
        <f t="shared" si="14"/>
        <v>4</v>
      </c>
      <c r="G107" s="21">
        <f t="shared" si="15"/>
        <v>4</v>
      </c>
      <c r="H107" s="11">
        <f t="shared" si="16"/>
        <v>16</v>
      </c>
    </row>
    <row r="108" spans="1:8" x14ac:dyDescent="0.25">
      <c r="D108" s="24">
        <v>79</v>
      </c>
      <c r="E108" s="11">
        <v>61</v>
      </c>
      <c r="F108" s="21">
        <f t="shared" si="14"/>
        <v>18</v>
      </c>
      <c r="G108" s="21">
        <f t="shared" si="15"/>
        <v>18</v>
      </c>
      <c r="H108" s="11">
        <f t="shared" si="16"/>
        <v>324</v>
      </c>
    </row>
    <row r="109" spans="1:8" x14ac:dyDescent="0.25">
      <c r="A109" s="11" t="s">
        <v>137</v>
      </c>
      <c r="D109" s="24">
        <v>55</v>
      </c>
      <c r="E109" s="11">
        <v>61</v>
      </c>
      <c r="F109" s="21">
        <f t="shared" si="14"/>
        <v>-6</v>
      </c>
      <c r="G109" s="21">
        <f t="shared" si="15"/>
        <v>-6</v>
      </c>
      <c r="H109" s="11">
        <f t="shared" si="16"/>
        <v>36</v>
      </c>
    </row>
    <row r="110" spans="1:8" x14ac:dyDescent="0.25">
      <c r="D110" s="24">
        <v>78</v>
      </c>
      <c r="E110" s="11">
        <v>61</v>
      </c>
      <c r="F110" s="21">
        <f t="shared" si="14"/>
        <v>17</v>
      </c>
      <c r="G110" s="21">
        <f t="shared" si="15"/>
        <v>17</v>
      </c>
      <c r="H110" s="11">
        <f t="shared" si="16"/>
        <v>289</v>
      </c>
    </row>
    <row r="111" spans="1:8" x14ac:dyDescent="0.25">
      <c r="A111" s="11" t="s">
        <v>138</v>
      </c>
      <c r="D111" s="24">
        <v>68</v>
      </c>
      <c r="E111" s="11">
        <v>61</v>
      </c>
      <c r="F111" s="21">
        <f t="shared" si="14"/>
        <v>7</v>
      </c>
      <c r="G111" s="21">
        <f t="shared" si="15"/>
        <v>7</v>
      </c>
      <c r="H111" s="11">
        <f t="shared" si="16"/>
        <v>49</v>
      </c>
    </row>
    <row r="112" spans="1:8" x14ac:dyDescent="0.25">
      <c r="D112" s="24">
        <v>63</v>
      </c>
      <c r="E112" s="11">
        <v>61</v>
      </c>
      <c r="F112" s="21">
        <f t="shared" si="14"/>
        <v>2</v>
      </c>
      <c r="G112" s="21">
        <f t="shared" si="15"/>
        <v>2</v>
      </c>
      <c r="H112" s="11">
        <f t="shared" si="16"/>
        <v>4</v>
      </c>
    </row>
    <row r="113" spans="1:10" x14ac:dyDescent="0.25">
      <c r="A113" s="11" t="s">
        <v>139</v>
      </c>
      <c r="D113" s="24">
        <v>59</v>
      </c>
      <c r="E113" s="11">
        <v>61</v>
      </c>
      <c r="F113" s="21">
        <f t="shared" si="14"/>
        <v>-2</v>
      </c>
      <c r="G113" s="21">
        <f t="shared" si="15"/>
        <v>-2</v>
      </c>
      <c r="H113" s="11">
        <f t="shared" si="16"/>
        <v>4</v>
      </c>
    </row>
    <row r="114" spans="1:10" x14ac:dyDescent="0.25">
      <c r="A114" s="11" t="s">
        <v>47</v>
      </c>
      <c r="H114" s="11">
        <f>SUM(H102:H113)</f>
        <v>1488</v>
      </c>
      <c r="I114" s="11">
        <v>12</v>
      </c>
    </row>
    <row r="115" spans="1:10" x14ac:dyDescent="0.25">
      <c r="A115" s="11" t="s">
        <v>140</v>
      </c>
      <c r="E115" s="34">
        <v>486323.9</v>
      </c>
      <c r="I115" s="11">
        <f>H114/I114</f>
        <v>124</v>
      </c>
    </row>
    <row r="116" spans="1:10" x14ac:dyDescent="0.25">
      <c r="A116" s="11" t="s">
        <v>141</v>
      </c>
      <c r="C116" s="11">
        <f>18*50</f>
        <v>900</v>
      </c>
      <c r="D116" s="32">
        <f>730/295</f>
        <v>2.4745762711864407</v>
      </c>
      <c r="E116" s="34">
        <f>AVERAGE(E115)</f>
        <v>486323.9</v>
      </c>
      <c r="I116" s="31">
        <f>SQRT(I115)</f>
        <v>11.135528725660043</v>
      </c>
    </row>
    <row r="117" spans="1:10" x14ac:dyDescent="0.25">
      <c r="D117" s="11">
        <f>D116*50</f>
        <v>123.72881355932203</v>
      </c>
      <c r="I117" s="11">
        <v>1.65</v>
      </c>
      <c r="J117" s="21">
        <f>I117*I116</f>
        <v>18.373622397339069</v>
      </c>
    </row>
    <row r="118" spans="1:10" x14ac:dyDescent="0.25">
      <c r="A118" s="11" t="s">
        <v>142</v>
      </c>
    </row>
    <row r="119" spans="1:10" x14ac:dyDescent="0.25">
      <c r="A119" s="11" t="s">
        <v>143</v>
      </c>
      <c r="B119" s="11">
        <v>3</v>
      </c>
      <c r="C119" s="11">
        <v>4</v>
      </c>
      <c r="D119" s="11">
        <f>B119*C119</f>
        <v>12</v>
      </c>
    </row>
    <row r="120" spans="1:10" x14ac:dyDescent="0.25">
      <c r="A120" s="11" t="s">
        <v>146</v>
      </c>
      <c r="C120" s="11">
        <f>28*50</f>
        <v>1400</v>
      </c>
      <c r="D120" s="11">
        <f>D119+18</f>
        <v>30</v>
      </c>
    </row>
    <row r="121" spans="1:10" x14ac:dyDescent="0.25">
      <c r="A121" s="11" t="s">
        <v>144</v>
      </c>
    </row>
    <row r="122" spans="1:10" x14ac:dyDescent="0.25">
      <c r="A122" s="11" t="s">
        <v>145</v>
      </c>
    </row>
  </sheetData>
  <mergeCells count="5">
    <mergeCell ref="A93:B93"/>
    <mergeCell ref="A97:B97"/>
    <mergeCell ref="A2:A3"/>
    <mergeCell ref="B2:C2"/>
    <mergeCell ref="D2:E2"/>
  </mergeCells>
  <phoneticPr fontId="4" type="noConversion"/>
  <pageMargins left="0.7" right="0.7" top="0.75" bottom="0.75" header="0.3" footer="0.3"/>
  <ignoredErrors>
    <ignoredError sqref="G8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Kelebihan Bahan Baku (2)</vt:lpstr>
      <vt:lpstr>Data Kelebihan Bahan Baku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2023-07-10T07:34:14Z</cp:lastPrinted>
  <dcterms:created xsi:type="dcterms:W3CDTF">2023-07-04T04:41:29Z</dcterms:created>
  <dcterms:modified xsi:type="dcterms:W3CDTF">2023-08-10T01:10:45Z</dcterms:modified>
</cp:coreProperties>
</file>